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\Desktop\Anima\2020\"/>
    </mc:Choice>
  </mc:AlternateContent>
  <xr:revisionPtr revIDLastSave="0" documentId="13_ncr:1_{6A44F412-1E63-4144-8995-21862C72DDF2}" xr6:coauthVersionLast="45" xr6:coauthVersionMax="45" xr10:uidLastSave="{00000000-0000-0000-0000-000000000000}"/>
  <bookViews>
    <workbookView xWindow="-120" yWindow="-120" windowWidth="20730" windowHeight="11160" tabRatio="775" xr2:uid="{B71FA62D-150E-4ED8-BFE4-4EF18E6A9148}"/>
  </bookViews>
  <sheets>
    <sheet name="Orç 2020" sheetId="2" r:id="rId1"/>
    <sheet name="CLT" sheetId="9" r:id="rId2"/>
    <sheet name="Cálculos CLT" sheetId="11" r:id="rId3"/>
    <sheet name="Justificativas" sheetId="10" r:id="rId4"/>
    <sheet name="Mem Locação PJ" sheetId="6" r:id="rId5"/>
    <sheet name="Alim-Ref" sheetId="8" r:id="rId6"/>
  </sheets>
  <definedNames>
    <definedName name="_xlnm.Print_Area" localSheetId="0">'Orç 2020'!$A$1:$Q$65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2" l="1"/>
  <c r="F29" i="2"/>
  <c r="G29" i="2"/>
  <c r="H29" i="2"/>
  <c r="I29" i="2"/>
  <c r="J29" i="2"/>
  <c r="K29" i="2"/>
  <c r="L29" i="2"/>
  <c r="M29" i="2"/>
  <c r="N29" i="2"/>
  <c r="O29" i="2"/>
  <c r="P29" i="2"/>
  <c r="D29" i="2"/>
  <c r="E23" i="2"/>
  <c r="F23" i="2"/>
  <c r="G23" i="2"/>
  <c r="H23" i="2"/>
  <c r="I23" i="2"/>
  <c r="J23" i="2"/>
  <c r="K23" i="2"/>
  <c r="L23" i="2"/>
  <c r="M23" i="2"/>
  <c r="N23" i="2"/>
  <c r="O23" i="2"/>
  <c r="P23" i="2"/>
  <c r="D23" i="2"/>
  <c r="E42" i="2"/>
  <c r="F42" i="2"/>
  <c r="G42" i="2"/>
  <c r="H42" i="2"/>
  <c r="I42" i="2"/>
  <c r="J42" i="2"/>
  <c r="K42" i="2"/>
  <c r="L42" i="2"/>
  <c r="M42" i="2"/>
  <c r="N42" i="2"/>
  <c r="O42" i="2"/>
  <c r="P42" i="2"/>
  <c r="D42" i="2"/>
  <c r="P40" i="2"/>
  <c r="O8" i="2"/>
  <c r="N8" i="2"/>
  <c r="M8" i="2"/>
  <c r="L8" i="2"/>
  <c r="K8" i="2"/>
  <c r="J8" i="2"/>
  <c r="I8" i="2"/>
  <c r="H8" i="2"/>
  <c r="G8" i="2"/>
  <c r="O7" i="2"/>
  <c r="N7" i="2"/>
  <c r="M7" i="2"/>
  <c r="L7" i="2"/>
  <c r="K7" i="2"/>
  <c r="J7" i="2"/>
  <c r="I7" i="2"/>
  <c r="H7" i="2"/>
  <c r="G7" i="2"/>
  <c r="O6" i="2"/>
  <c r="N6" i="2"/>
  <c r="M6" i="2"/>
  <c r="L6" i="2"/>
  <c r="K6" i="2"/>
  <c r="J6" i="2"/>
  <c r="I6" i="2"/>
  <c r="H6" i="2"/>
  <c r="G6" i="2"/>
  <c r="F8" i="2"/>
  <c r="F7" i="2"/>
  <c r="F6" i="2"/>
  <c r="A12" i="2"/>
  <c r="P34" i="2"/>
  <c r="P31" i="2"/>
  <c r="P32" i="2"/>
  <c r="D33" i="2"/>
  <c r="F33" i="2"/>
  <c r="H33" i="2"/>
  <c r="J33" i="2"/>
  <c r="L33" i="2"/>
  <c r="O33" i="2"/>
  <c r="P33" i="2"/>
  <c r="P35" i="2"/>
  <c r="P36" i="2"/>
  <c r="P37" i="2"/>
  <c r="P38" i="2"/>
  <c r="P39" i="2"/>
  <c r="P5" i="2"/>
  <c r="P6" i="2"/>
  <c r="P7" i="2"/>
  <c r="P8" i="2"/>
  <c r="P9" i="2"/>
  <c r="P10" i="2"/>
  <c r="P11" i="2"/>
  <c r="P12" i="2"/>
  <c r="P13" i="2"/>
  <c r="P14" i="2"/>
  <c r="F15" i="2"/>
  <c r="G15" i="2"/>
  <c r="H15" i="2"/>
  <c r="I15" i="2"/>
  <c r="J15" i="2"/>
  <c r="K15" i="2"/>
  <c r="L15" i="2"/>
  <c r="M15" i="2"/>
  <c r="N15" i="2"/>
  <c r="O15" i="2"/>
  <c r="P15" i="2"/>
  <c r="F16" i="2"/>
  <c r="G16" i="2"/>
  <c r="H16" i="2"/>
  <c r="I16" i="2"/>
  <c r="J16" i="2"/>
  <c r="K16" i="2"/>
  <c r="L16" i="2"/>
  <c r="M16" i="2"/>
  <c r="N16" i="2"/>
  <c r="O16" i="2"/>
  <c r="P16" i="2"/>
  <c r="F17" i="2"/>
  <c r="G17" i="2"/>
  <c r="H17" i="2"/>
  <c r="I17" i="2"/>
  <c r="J17" i="2"/>
  <c r="K17" i="2"/>
  <c r="L17" i="2"/>
  <c r="M17" i="2"/>
  <c r="N17" i="2"/>
  <c r="O17" i="2"/>
  <c r="P17" i="2"/>
  <c r="P18" i="2"/>
  <c r="P19" i="2"/>
  <c r="P20" i="2"/>
  <c r="P21" i="2"/>
  <c r="P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P27" i="2"/>
  <c r="P44" i="2"/>
  <c r="P45" i="2"/>
  <c r="P46" i="2"/>
  <c r="P47" i="2"/>
  <c r="P48" i="2"/>
  <c r="P49" i="2"/>
  <c r="P51" i="2"/>
  <c r="F53" i="2"/>
  <c r="G53" i="2"/>
  <c r="M53" i="2"/>
  <c r="N53" i="2"/>
  <c r="P53" i="2"/>
  <c r="P54" i="2"/>
  <c r="P55" i="2"/>
  <c r="P56" i="2"/>
  <c r="P58" i="2"/>
  <c r="P59" i="2"/>
  <c r="E27" i="2"/>
  <c r="E51" i="2"/>
  <c r="E58" i="2"/>
  <c r="E59" i="2"/>
  <c r="F27" i="2"/>
  <c r="F51" i="2"/>
  <c r="F58" i="2"/>
  <c r="F59" i="2"/>
  <c r="G27" i="2"/>
  <c r="G51" i="2"/>
  <c r="G58" i="2"/>
  <c r="G59" i="2"/>
  <c r="H27" i="2"/>
  <c r="H51" i="2"/>
  <c r="H58" i="2"/>
  <c r="H59" i="2"/>
  <c r="I27" i="2"/>
  <c r="I51" i="2"/>
  <c r="I58" i="2"/>
  <c r="I59" i="2"/>
  <c r="J27" i="2"/>
  <c r="J51" i="2"/>
  <c r="J58" i="2"/>
  <c r="J59" i="2"/>
  <c r="K27" i="2"/>
  <c r="K51" i="2"/>
  <c r="K58" i="2"/>
  <c r="K59" i="2"/>
  <c r="L27" i="2"/>
  <c r="L51" i="2"/>
  <c r="L58" i="2"/>
  <c r="L59" i="2"/>
  <c r="M27" i="2"/>
  <c r="M51" i="2"/>
  <c r="M58" i="2"/>
  <c r="M59" i="2"/>
  <c r="N27" i="2"/>
  <c r="N51" i="2"/>
  <c r="N58" i="2"/>
  <c r="N59" i="2"/>
  <c r="O27" i="2"/>
  <c r="O51" i="2"/>
  <c r="O58" i="2"/>
  <c r="O59" i="2"/>
  <c r="D27" i="2"/>
  <c r="D51" i="2"/>
  <c r="D58" i="2"/>
  <c r="D59" i="2"/>
  <c r="P72" i="2"/>
  <c r="S59" i="2"/>
  <c r="P67" i="2"/>
  <c r="P68" i="2"/>
  <c r="R67" i="2"/>
  <c r="R68" i="2"/>
  <c r="D9" i="6"/>
  <c r="E9" i="6"/>
  <c r="F9" i="6"/>
  <c r="G9" i="6"/>
  <c r="H9" i="6"/>
  <c r="I9" i="6"/>
  <c r="J9" i="6"/>
  <c r="K9" i="6"/>
  <c r="L9" i="6"/>
  <c r="M9" i="6"/>
  <c r="N9" i="6"/>
  <c r="C9" i="6"/>
  <c r="O4" i="6"/>
  <c r="O5" i="6"/>
  <c r="O6" i="6"/>
  <c r="O7" i="6"/>
  <c r="O3" i="6"/>
  <c r="O9" i="6"/>
  <c r="F14" i="8"/>
  <c r="G14" i="8"/>
  <c r="I14" i="8"/>
  <c r="F15" i="8"/>
  <c r="G15" i="8"/>
  <c r="I15" i="8"/>
  <c r="F16" i="8"/>
  <c r="G16" i="8"/>
  <c r="I16" i="8"/>
  <c r="F17" i="8"/>
  <c r="G17" i="8"/>
  <c r="I17" i="8"/>
  <c r="I18" i="8"/>
  <c r="G6" i="8"/>
  <c r="G7" i="8"/>
  <c r="G8" i="8"/>
  <c r="G5" i="8"/>
  <c r="R69" i="2"/>
  <c r="D26" i="11"/>
  <c r="D30" i="11"/>
  <c r="D27" i="11"/>
  <c r="D28" i="11"/>
  <c r="D29" i="11"/>
  <c r="D34" i="11"/>
  <c r="D35" i="11"/>
  <c r="C36" i="11"/>
  <c r="D36" i="11"/>
  <c r="D31" i="11"/>
  <c r="C32" i="11"/>
  <c r="D32" i="11"/>
  <c r="D37" i="11"/>
  <c r="D38" i="11"/>
  <c r="D40" i="11"/>
  <c r="S7" i="2"/>
  <c r="U3" i="2"/>
  <c r="T7" i="2"/>
  <c r="W4" i="2"/>
  <c r="W7" i="2"/>
  <c r="S6" i="2"/>
  <c r="T3" i="2"/>
  <c r="T6" i="2"/>
  <c r="V4" i="2"/>
  <c r="W6" i="2"/>
  <c r="F8" i="11"/>
  <c r="F9" i="11"/>
  <c r="D9" i="11"/>
  <c r="I9" i="11"/>
  <c r="V9" i="11"/>
  <c r="G9" i="11"/>
  <c r="L9" i="11"/>
  <c r="N9" i="11"/>
  <c r="P9" i="11"/>
  <c r="AA9" i="11"/>
  <c r="W9" i="11"/>
  <c r="AB9" i="11"/>
  <c r="C9" i="11"/>
  <c r="AC9" i="11"/>
  <c r="AD9" i="11"/>
  <c r="AE9" i="11"/>
  <c r="AF9" i="11"/>
  <c r="AG9" i="11"/>
  <c r="AH9" i="11"/>
  <c r="X9" i="11"/>
  <c r="Y9" i="11"/>
  <c r="Z9" i="11"/>
  <c r="E6" i="11"/>
  <c r="E9" i="11"/>
  <c r="R9" i="11"/>
  <c r="T9" i="11"/>
  <c r="U9" i="11"/>
  <c r="M9" i="11"/>
  <c r="O6" i="11"/>
  <c r="O9" i="11"/>
  <c r="S9" i="11"/>
  <c r="J9" i="11"/>
  <c r="D8" i="11"/>
  <c r="I8" i="11"/>
  <c r="V8" i="11"/>
  <c r="G8" i="11"/>
  <c r="L8" i="11"/>
  <c r="N8" i="11"/>
  <c r="P8" i="11"/>
  <c r="AA8" i="11"/>
  <c r="W8" i="11"/>
  <c r="AB8" i="11"/>
  <c r="C8" i="11"/>
  <c r="AC8" i="11"/>
  <c r="AD8" i="11"/>
  <c r="AE8" i="11"/>
  <c r="AF8" i="11"/>
  <c r="AG8" i="11"/>
  <c r="AH8" i="11"/>
  <c r="X8" i="11"/>
  <c r="Y8" i="11"/>
  <c r="Z8" i="11"/>
  <c r="E8" i="11"/>
  <c r="R8" i="11"/>
  <c r="T8" i="11"/>
  <c r="U8" i="11"/>
  <c r="M8" i="11"/>
  <c r="O8" i="11"/>
  <c r="S8" i="11"/>
  <c r="J8" i="11"/>
  <c r="F5" i="8"/>
  <c r="I5" i="8"/>
  <c r="F6" i="8"/>
  <c r="I6" i="8"/>
  <c r="F7" i="8"/>
  <c r="I7" i="8"/>
  <c r="F8" i="8"/>
  <c r="I8" i="8"/>
  <c r="I9" i="8"/>
</calcChain>
</file>

<file path=xl/sharedStrings.xml><?xml version="1.0" encoding="utf-8"?>
<sst xmlns="http://schemas.openxmlformats.org/spreadsheetml/2006/main" count="242" uniqueCount="165">
  <si>
    <t>jul</t>
  </si>
  <si>
    <t>ago</t>
  </si>
  <si>
    <t>set</t>
  </si>
  <si>
    <t>out</t>
  </si>
  <si>
    <t>nov</t>
  </si>
  <si>
    <t>dez</t>
  </si>
  <si>
    <t>Custo anual</t>
  </si>
  <si>
    <t>Oficineiro(a) PF</t>
  </si>
  <si>
    <t>INSS s/ Serviços RPA</t>
  </si>
  <si>
    <t>subtotal</t>
  </si>
  <si>
    <t>TOTAL</t>
  </si>
  <si>
    <t>Material de consumo</t>
  </si>
  <si>
    <t>Alimentos</t>
  </si>
  <si>
    <t>Materiais Pedagógicos</t>
  </si>
  <si>
    <t>Materiais Descartáveis</t>
  </si>
  <si>
    <t>Higiene e Limpeza</t>
  </si>
  <si>
    <t>Serviços de Pessoa Jurídica</t>
  </si>
  <si>
    <t>Jan</t>
  </si>
  <si>
    <t>Fev</t>
  </si>
  <si>
    <t>Mar</t>
  </si>
  <si>
    <t>Abr</t>
  </si>
  <si>
    <t>Mai</t>
  </si>
  <si>
    <t>Jun</t>
  </si>
  <si>
    <t>Prestação de serviços – PF</t>
  </si>
  <si>
    <t>Prestação de serviços – PJ</t>
  </si>
  <si>
    <t xml:space="preserve">Materiais de Expediente </t>
  </si>
  <si>
    <t>Combustíveis e Lubrificantes</t>
  </si>
  <si>
    <t>Locação de Veículo - PJ</t>
  </si>
  <si>
    <t>Vale Alimentação/Refeição</t>
  </si>
  <si>
    <t>Orientador Social 1</t>
  </si>
  <si>
    <t>Orientador Social 2</t>
  </si>
  <si>
    <t>Orientador Social 3</t>
  </si>
  <si>
    <t>Março</t>
  </si>
  <si>
    <t>Abril</t>
  </si>
  <si>
    <t>Outubro</t>
  </si>
  <si>
    <t>Novembro</t>
  </si>
  <si>
    <t>TT</t>
  </si>
  <si>
    <t>Oficineiros PJ</t>
  </si>
  <si>
    <t>ISS s/ RPA</t>
  </si>
  <si>
    <t>Almoço</t>
  </si>
  <si>
    <t>Jantar</t>
  </si>
  <si>
    <t>Valor Marmitex</t>
  </si>
  <si>
    <t>Total</t>
  </si>
  <si>
    <t xml:space="preserve"> cursos- carteira Esep</t>
  </si>
  <si>
    <t>INSS</t>
  </si>
  <si>
    <t>FGTS</t>
  </si>
  <si>
    <t>1/3 FÉRIAS</t>
  </si>
  <si>
    <t>13º SALÁRIO</t>
  </si>
  <si>
    <t>Dúvidas:</t>
  </si>
  <si>
    <t>Adicional noturno?</t>
  </si>
  <si>
    <t>2 folgas semanais</t>
  </si>
  <si>
    <t>Feriado trabalhado</t>
  </si>
  <si>
    <t>Pode ser 30 horas semanais sendo por banco de horas? / Compensação de horas? Para não precisar ser horista</t>
  </si>
  <si>
    <t>Vale Alimentação</t>
  </si>
  <si>
    <t>Vale Transporte</t>
  </si>
  <si>
    <t>Rescisão - homologação sindicato em SP</t>
  </si>
  <si>
    <t>Licença maternida - qual custo temos para substituião? - FGTS - Férias - 13º</t>
  </si>
  <si>
    <t>Contrato normal e horista</t>
  </si>
  <si>
    <t>Horário fixo</t>
  </si>
  <si>
    <t>Insalubridade</t>
  </si>
  <si>
    <t>Periculosidade</t>
  </si>
  <si>
    <t>Sindicato</t>
  </si>
  <si>
    <t>Controle Ponto</t>
  </si>
  <si>
    <r>
      <t xml:space="preserve">Recolhimento de contribuições sindicais - como funciona, meses, desconto: 
</t>
    </r>
    <r>
      <rPr>
        <b/>
        <u/>
        <sz val="11"/>
        <color theme="1"/>
        <rFont val="Calibri"/>
        <family val="2"/>
        <scheme val="minor"/>
      </rPr>
      <t xml:space="preserve">Contribuição Assistencial/Negocial:  </t>
    </r>
    <r>
      <rPr>
        <sz val="11"/>
        <color theme="1"/>
        <rFont val="Calibri"/>
        <family val="2"/>
        <scheme val="minor"/>
      </rPr>
      <t>desconto 3% em abril da remuneração reajustada - recolhida pela instituição até o 10º dia ultil do mês subsequente
&gt;&gt; Empregados contratados após a data base recolher os 3% no primeiro salário e pagar ao sindicato - ver prazo
Para oposição apresentar carta de próprio punho na sede - Consolação
Contribuição Patronal: 4% Folha total ja reajustada - Folha bruta? &gt;&gt; 2% em 30/03 e 2% em 30/08 (Vlr minimo R$ 400)</t>
    </r>
  </si>
  <si>
    <t>Medicina do Trabalho</t>
  </si>
  <si>
    <t>PIS</t>
  </si>
  <si>
    <t>Provisão Multa Aviso prévio</t>
  </si>
  <si>
    <t>Provisão FGTS Aviso Prévio</t>
  </si>
  <si>
    <t>Líquido Funcionário</t>
  </si>
  <si>
    <t>IR 3.000</t>
  </si>
  <si>
    <t>IR 2.500</t>
  </si>
  <si>
    <t>Sal</t>
  </si>
  <si>
    <t>Liquido</t>
  </si>
  <si>
    <t>Estudo CLT - Instituto Ânima</t>
  </si>
  <si>
    <t>Mês</t>
  </si>
  <si>
    <t>Ano</t>
  </si>
  <si>
    <t>Salário Bruto</t>
  </si>
  <si>
    <t xml:space="preserve">FGTS </t>
  </si>
  <si>
    <t>IR*</t>
  </si>
  <si>
    <t>Férias (1/3)</t>
  </si>
  <si>
    <t>Desconto Funcionário</t>
  </si>
  <si>
    <t>Seguro Vida</t>
  </si>
  <si>
    <t>13º Salário</t>
  </si>
  <si>
    <t>FGTS 13º</t>
  </si>
  <si>
    <t>Custo Ânima Mês</t>
  </si>
  <si>
    <t>Custo Ânima Ano</t>
  </si>
  <si>
    <t>Atual Mês</t>
  </si>
  <si>
    <t>#</t>
  </si>
  <si>
    <t>Líquido Fucnionário</t>
  </si>
  <si>
    <t>Benefícios Funcionário</t>
  </si>
  <si>
    <t>Atual</t>
  </si>
  <si>
    <t>FGTS (13 meses)</t>
  </si>
  <si>
    <t>Conf Sal</t>
  </si>
  <si>
    <t>Integral</t>
  </si>
  <si>
    <t>mais 1 salário</t>
  </si>
  <si>
    <t>* No caso do IR verificar dependentes</t>
  </si>
  <si>
    <t>Verificar:</t>
  </si>
  <si>
    <t>Salário</t>
  </si>
  <si>
    <t>13º</t>
  </si>
  <si>
    <t>VA</t>
  </si>
  <si>
    <t>Dissídio</t>
  </si>
  <si>
    <t>Custo Empregador / Mês</t>
  </si>
  <si>
    <t>VT</t>
  </si>
  <si>
    <t>Aux Creche</t>
  </si>
  <si>
    <t>Multa FGTS</t>
  </si>
  <si>
    <t>FGTS 3 dias</t>
  </si>
  <si>
    <t>Sindicato/Março</t>
  </si>
  <si>
    <t>Medicina Trabalho</t>
  </si>
  <si>
    <t>Ref</t>
  </si>
  <si>
    <t>Salário equipe: adversidade de tempo, horário totlamente felxivel, periculosidade de atendimento - usuário, alcolatra, violencia, depressão</t>
  </si>
  <si>
    <t>Manutenção de salário e equipe</t>
  </si>
  <si>
    <t>Alana</t>
  </si>
  <si>
    <t>Wilta</t>
  </si>
  <si>
    <t>Leleco</t>
  </si>
  <si>
    <t>Dias</t>
  </si>
  <si>
    <t>Pessoas</t>
  </si>
  <si>
    <t>Jantar (20% dos alunos)</t>
  </si>
  <si>
    <t>140 pessoas</t>
  </si>
  <si>
    <t>Café Manhã</t>
  </si>
  <si>
    <t>Valor Café</t>
  </si>
  <si>
    <t>Castelhanos (12 viagens)</t>
  </si>
  <si>
    <t>per capita 2019</t>
  </si>
  <si>
    <t>100 pessoas</t>
  </si>
  <si>
    <t>Em média 110k de encargos por ter equipe CLT</t>
  </si>
  <si>
    <t>Em resumo mantivemos a mesma meta, o mesmo valor com aprox R$ 110k de impostos para euqipe CLT.</t>
  </si>
  <si>
    <t xml:space="preserve">INSS </t>
  </si>
  <si>
    <t>v2</t>
  </si>
  <si>
    <t xml:space="preserve">PIS </t>
  </si>
  <si>
    <t xml:space="preserve">Contribuição Sindical Patronal </t>
  </si>
  <si>
    <t>Jul</t>
  </si>
  <si>
    <t>Ago</t>
  </si>
  <si>
    <t>Set</t>
  </si>
  <si>
    <t>Out</t>
  </si>
  <si>
    <t>Nov</t>
  </si>
  <si>
    <t>Dez</t>
  </si>
  <si>
    <t xml:space="preserve">Búzios </t>
  </si>
  <si>
    <t xml:space="preserve">Vitória </t>
  </si>
  <si>
    <t xml:space="preserve">Bonete </t>
  </si>
  <si>
    <t xml:space="preserve">Castelhanos </t>
  </si>
  <si>
    <t>x</t>
  </si>
  <si>
    <t>3 dias a mais por ano</t>
  </si>
  <si>
    <t>Gestor Atividades e Projeto - Tradicional</t>
  </si>
  <si>
    <t>Gestor Atividades e Projeto - Urbano</t>
  </si>
  <si>
    <t>Equie Fixa - CLT</t>
  </si>
  <si>
    <t>Búzios</t>
  </si>
  <si>
    <t>Serraria / Fome / Figueira / Vermelha / Sombrio / Guanxumas</t>
  </si>
  <si>
    <t>Apoio Tecnico</t>
  </si>
  <si>
    <t xml:space="preserve">Assessoria Técnica </t>
  </si>
  <si>
    <t xml:space="preserve">Apoio administrativo </t>
  </si>
  <si>
    <t xml:space="preserve">Fotocópias </t>
  </si>
  <si>
    <t>Serviços Gráficos e Divulgação*</t>
  </si>
  <si>
    <t>* No mês de fevereiro o valor é maior para confecção de camisetas para os usuários dos grupos.</t>
  </si>
  <si>
    <t>Erick</t>
  </si>
  <si>
    <t>PLANO DE APLICAÇÃO - APOSTILAMENTO</t>
  </si>
  <si>
    <t>Dissídio **</t>
  </si>
  <si>
    <t>Provisões Estabilidade/Benefícios **</t>
  </si>
  <si>
    <t>Apoio Tecnico - Assistente Social **</t>
  </si>
  <si>
    <t>** Rubrica de Assistente Social se transforma em Prestação de Serviço PJ</t>
  </si>
  <si>
    <t>*** Dividimos proporcionalmente as rubricas de "Dissidio" e "Provisões Estabilidade/Benefícios", no salário dos Orientadores Sociais. Ressaltamos que o salário fixo permace o mesmo, R$ 2.000,00 as rubricas incorporadas é para possíveis aumentos e imprevistos, previstos em Lei.</t>
  </si>
  <si>
    <t>Anular</t>
  </si>
  <si>
    <t>Suplementar - Incluir os valores da rubrica Assistente Social - anulada em Equipe Fixa - CLT</t>
  </si>
  <si>
    <t>Suplementar - Incluir os valores da rubrica Díssidio e Provisões Estabilidade/Benefícios - anulada em Equipe Fixa - CLT</t>
  </si>
  <si>
    <t>Suplementar - Incluir os valores da rubrica Medicina do Trabalho - anulada em Equipe Fixa - CLT</t>
  </si>
  <si>
    <t>Medicina do Trabalho***</t>
  </si>
  <si>
    <t>*** Solicitamos apostilamento desta rubrica, pois i lançamento/uso do recurso é anterior a contratação, e o sistema não aceita o lançamento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</si>
</sst>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"/>
    <numFmt numFmtId="165" formatCode="#,##0.00_ ;[Red]\-#,##0.00\ "/>
    <numFmt numFmtId="166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333333"/>
      <name val="Arial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6" fillId="0" borderId="1" xfId="0" applyFont="1" applyBorder="1" applyAlignment="1">
      <alignment horizontal="right" vertical="center" wrapText="1"/>
    </xf>
    <xf numFmtId="0" fontId="2" fillId="4" borderId="5" xfId="0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0" xfId="0" applyFont="1" applyFill="1"/>
    <xf numFmtId="0" fontId="6" fillId="0" borderId="5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3" fillId="2" borderId="5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/>
    </xf>
    <xf numFmtId="3" fontId="3" fillId="4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10" fillId="0" borderId="0" xfId="0" applyFont="1"/>
    <xf numFmtId="3" fontId="3" fillId="0" borderId="0" xfId="0" applyNumberFormat="1" applyFont="1"/>
    <xf numFmtId="9" fontId="3" fillId="0" borderId="0" xfId="0" applyNumberFormat="1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9" fontId="3" fillId="0" borderId="0" xfId="0" applyNumberFormat="1" applyFont="1" applyBorder="1"/>
    <xf numFmtId="0" fontId="3" fillId="0" borderId="0" xfId="0" applyFont="1" applyBorder="1"/>
    <xf numFmtId="0" fontId="3" fillId="0" borderId="13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2" xfId="0" applyNumberFormat="1" applyFont="1" applyBorder="1"/>
    <xf numFmtId="3" fontId="3" fillId="0" borderId="0" xfId="0" applyNumberFormat="1" applyFont="1" applyBorder="1"/>
    <xf numFmtId="3" fontId="3" fillId="0" borderId="14" xfId="0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0" fontId="3" fillId="0" borderId="15" xfId="0" applyFont="1" applyBorder="1"/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left"/>
    </xf>
    <xf numFmtId="9" fontId="11" fillId="0" borderId="8" xfId="0" applyNumberFormat="1" applyFont="1" applyBorder="1" applyAlignment="1">
      <alignment horizontal="left"/>
    </xf>
    <xf numFmtId="9" fontId="11" fillId="3" borderId="8" xfId="0" applyNumberFormat="1" applyFont="1" applyFill="1" applyBorder="1" applyAlignment="1">
      <alignment horizontal="left"/>
    </xf>
    <xf numFmtId="10" fontId="11" fillId="0" borderId="8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1" fillId="6" borderId="0" xfId="0" applyFont="1" applyFill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3" borderId="0" xfId="0" applyFill="1"/>
    <xf numFmtId="0" fontId="0" fillId="0" borderId="12" xfId="0" applyBorder="1"/>
    <xf numFmtId="0" fontId="0" fillId="6" borderId="0" xfId="0" applyFill="1"/>
    <xf numFmtId="0" fontId="0" fillId="0" borderId="9" xfId="0" applyBorder="1"/>
    <xf numFmtId="0" fontId="0" fillId="0" borderId="10" xfId="0" applyBorder="1"/>
    <xf numFmtId="4" fontId="0" fillId="0" borderId="0" xfId="0" applyNumberFormat="1"/>
    <xf numFmtId="4" fontId="0" fillId="3" borderId="0" xfId="0" applyNumberFormat="1" applyFill="1"/>
    <xf numFmtId="4" fontId="9" fillId="0" borderId="0" xfId="0" applyNumberFormat="1" applyFont="1"/>
    <xf numFmtId="4" fontId="0" fillId="0" borderId="12" xfId="0" applyNumberFormat="1" applyBorder="1"/>
    <xf numFmtId="4" fontId="0" fillId="6" borderId="0" xfId="0" applyNumberFormat="1" applyFill="1"/>
    <xf numFmtId="165" fontId="0" fillId="6" borderId="0" xfId="0" applyNumberFormat="1" applyFill="1"/>
    <xf numFmtId="9" fontId="0" fillId="0" borderId="0" xfId="1" applyFont="1"/>
    <xf numFmtId="166" fontId="4" fillId="0" borderId="0" xfId="0" applyNumberFormat="1" applyFont="1"/>
    <xf numFmtId="9" fontId="0" fillId="0" borderId="0" xfId="0" applyNumberFormat="1"/>
    <xf numFmtId="0" fontId="2" fillId="0" borderId="0" xfId="0" applyFont="1"/>
    <xf numFmtId="3" fontId="3" fillId="0" borderId="0" xfId="0" applyNumberFormat="1" applyFont="1" applyAlignment="1">
      <alignment horizontal="right"/>
    </xf>
    <xf numFmtId="9" fontId="3" fillId="0" borderId="0" xfId="1" applyFont="1"/>
    <xf numFmtId="0" fontId="4" fillId="0" borderId="6" xfId="0" applyFont="1" applyBorder="1"/>
    <xf numFmtId="3" fontId="4" fillId="0" borderId="16" xfId="0" applyNumberFormat="1" applyFont="1" applyBorder="1"/>
    <xf numFmtId="0" fontId="0" fillId="0" borderId="5" xfId="0" applyBorder="1"/>
    <xf numFmtId="3" fontId="0" fillId="0" borderId="5" xfId="0" applyNumberFormat="1" applyBorder="1"/>
    <xf numFmtId="0" fontId="3" fillId="0" borderId="5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3" fontId="6" fillId="0" borderId="1" xfId="0" applyNumberFormat="1" applyFont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3" fontId="3" fillId="7" borderId="5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1400-44B5-4E88-B9C8-AF84E66DD742}">
  <sheetPr>
    <pageSetUpPr fitToPage="1"/>
  </sheetPr>
  <dimension ref="A1:AD72"/>
  <sheetViews>
    <sheetView tabSelected="1" zoomScale="80" zoomScaleNormal="80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R62" sqref="R62"/>
    </sheetView>
  </sheetViews>
  <sheetFormatPr defaultColWidth="9.140625" defaultRowHeight="20.100000000000001" customHeight="1" x14ac:dyDescent="0.2"/>
  <cols>
    <col min="1" max="1" width="5.28515625" style="1" customWidth="1"/>
    <col min="2" max="2" width="36.140625" style="1" customWidth="1"/>
    <col min="3" max="3" width="34.28515625" style="1" customWidth="1"/>
    <col min="4" max="4" width="9.28515625" style="1" bestFit="1" customWidth="1"/>
    <col min="5" max="5" width="7.85546875" style="1" bestFit="1" customWidth="1"/>
    <col min="6" max="6" width="7.7109375" style="1" bestFit="1" customWidth="1"/>
    <col min="7" max="15" width="7.85546875" style="1" bestFit="1" customWidth="1"/>
    <col min="16" max="16" width="11.7109375" style="36" bestFit="1" customWidth="1"/>
    <col min="17" max="17" width="4.42578125" style="1" customWidth="1"/>
    <col min="18" max="18" width="9.140625" style="1"/>
    <col min="19" max="19" width="12.7109375" style="1" customWidth="1"/>
    <col min="20" max="20" width="9.140625" style="1"/>
    <col min="21" max="21" width="10.28515625" style="1" customWidth="1"/>
    <col min="22" max="26" width="9.140625" style="1" customWidth="1"/>
    <col min="27" max="27" width="6.140625" style="1" customWidth="1"/>
    <col min="28" max="16384" width="9.140625" style="1"/>
  </cols>
  <sheetData>
    <row r="1" spans="1:23" ht="20.100000000000001" customHeight="1" thickBot="1" x14ac:dyDescent="0.25">
      <c r="B1" s="103" t="s">
        <v>153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23" ht="20.100000000000001" customHeight="1" x14ac:dyDescent="0.2"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R2" s="42"/>
      <c r="S2" s="43" t="s">
        <v>44</v>
      </c>
      <c r="T2" s="43" t="s">
        <v>69</v>
      </c>
      <c r="U2" s="44" t="s">
        <v>70</v>
      </c>
      <c r="V2" s="88" t="s">
        <v>106</v>
      </c>
      <c r="W2" s="88"/>
    </row>
    <row r="3" spans="1:23" ht="26.25" customHeight="1" x14ac:dyDescent="0.2">
      <c r="B3" s="3"/>
      <c r="C3" s="3"/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R3" s="45"/>
      <c r="S3" s="46">
        <v>0.11</v>
      </c>
      <c r="T3" s="47">
        <f>(R6*15%)-354.8</f>
        <v>95.199999999999989</v>
      </c>
      <c r="U3" s="47">
        <f>(R7*7.5%)-142.8</f>
        <v>7.1999999999999886</v>
      </c>
      <c r="V3" s="41">
        <v>0.03</v>
      </c>
    </row>
    <row r="4" spans="1:23" ht="20.100000000000001" customHeight="1" x14ac:dyDescent="0.2">
      <c r="B4" s="5" t="s">
        <v>143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30"/>
      <c r="R4" s="45" t="s">
        <v>68</v>
      </c>
      <c r="S4" s="47"/>
      <c r="T4" s="47"/>
      <c r="U4" s="48"/>
      <c r="V4" s="1">
        <f>R6*V3</f>
        <v>90</v>
      </c>
      <c r="W4" s="1">
        <f>R7*V3</f>
        <v>60</v>
      </c>
    </row>
    <row r="5" spans="1:23" ht="20.100000000000001" customHeight="1" x14ac:dyDescent="0.2">
      <c r="A5" s="1" t="s">
        <v>111</v>
      </c>
      <c r="B5" s="100" t="s">
        <v>156</v>
      </c>
      <c r="C5" s="100" t="s">
        <v>159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98">
        <v>0</v>
      </c>
      <c r="P5" s="31">
        <f>SUM(D5:O5)</f>
        <v>0</v>
      </c>
      <c r="R5" s="49" t="s">
        <v>71</v>
      </c>
      <c r="S5" s="50" t="s">
        <v>44</v>
      </c>
      <c r="T5" s="50" t="s">
        <v>72</v>
      </c>
      <c r="U5" s="48"/>
    </row>
    <row r="6" spans="1:23" ht="19.5" customHeight="1" x14ac:dyDescent="0.2">
      <c r="A6" s="1" t="s">
        <v>112</v>
      </c>
      <c r="B6" s="101" t="s">
        <v>29</v>
      </c>
      <c r="C6" s="107" t="s">
        <v>161</v>
      </c>
      <c r="D6" s="102">
        <v>0</v>
      </c>
      <c r="E6" s="102">
        <v>0</v>
      </c>
      <c r="F6" s="102">
        <f>2000+166.67+69.66</f>
        <v>2236.33</v>
      </c>
      <c r="G6" s="102">
        <f t="shared" ref="G6:O8" si="0">2000+166.67+69.66</f>
        <v>2236.33</v>
      </c>
      <c r="H6" s="102">
        <f t="shared" si="0"/>
        <v>2236.33</v>
      </c>
      <c r="I6" s="102">
        <f t="shared" si="0"/>
        <v>2236.33</v>
      </c>
      <c r="J6" s="102">
        <f t="shared" si="0"/>
        <v>2236.33</v>
      </c>
      <c r="K6" s="102">
        <f t="shared" si="0"/>
        <v>2236.33</v>
      </c>
      <c r="L6" s="102">
        <f t="shared" si="0"/>
        <v>2236.33</v>
      </c>
      <c r="M6" s="102">
        <f t="shared" si="0"/>
        <v>2236.33</v>
      </c>
      <c r="N6" s="102">
        <f t="shared" si="0"/>
        <v>2236.33</v>
      </c>
      <c r="O6" s="102">
        <f t="shared" si="0"/>
        <v>2236.33</v>
      </c>
      <c r="P6" s="31">
        <f t="shared" ref="P6:P21" si="1">SUM(D6:O6)</f>
        <v>22363.300000000003</v>
      </c>
      <c r="R6" s="51">
        <v>3000</v>
      </c>
      <c r="S6" s="47">
        <f>R6*S3</f>
        <v>330</v>
      </c>
      <c r="T6" s="52">
        <f>R6-S6-T3</f>
        <v>2574.8000000000002</v>
      </c>
      <c r="U6" s="48"/>
      <c r="W6" s="40">
        <f>T6-V4</f>
        <v>2484.8000000000002</v>
      </c>
    </row>
    <row r="7" spans="1:23" ht="20.100000000000001" customHeight="1" x14ac:dyDescent="0.2">
      <c r="A7" s="1" t="s">
        <v>113</v>
      </c>
      <c r="B7" s="101" t="s">
        <v>30</v>
      </c>
      <c r="C7" s="108"/>
      <c r="D7" s="102">
        <v>0</v>
      </c>
      <c r="E7" s="102">
        <v>0</v>
      </c>
      <c r="F7" s="102">
        <f>2000+166.67+69.66</f>
        <v>2236.33</v>
      </c>
      <c r="G7" s="102">
        <f t="shared" si="0"/>
        <v>2236.33</v>
      </c>
      <c r="H7" s="102">
        <f t="shared" si="0"/>
        <v>2236.33</v>
      </c>
      <c r="I7" s="102">
        <f t="shared" si="0"/>
        <v>2236.33</v>
      </c>
      <c r="J7" s="102">
        <f t="shared" si="0"/>
        <v>2236.33</v>
      </c>
      <c r="K7" s="102">
        <f t="shared" si="0"/>
        <v>2236.33</v>
      </c>
      <c r="L7" s="102">
        <f t="shared" si="0"/>
        <v>2236.33</v>
      </c>
      <c r="M7" s="102">
        <f t="shared" si="0"/>
        <v>2236.33</v>
      </c>
      <c r="N7" s="102">
        <f t="shared" si="0"/>
        <v>2236.33</v>
      </c>
      <c r="O7" s="102">
        <f t="shared" si="0"/>
        <v>2236.33</v>
      </c>
      <c r="P7" s="31">
        <f t="shared" si="1"/>
        <v>22363.300000000003</v>
      </c>
      <c r="R7" s="53">
        <v>2000</v>
      </c>
      <c r="S7" s="54">
        <f>R7*S3</f>
        <v>220</v>
      </c>
      <c r="T7" s="55">
        <f>R7-S7-U3</f>
        <v>1772.8</v>
      </c>
      <c r="U7" s="56"/>
      <c r="W7" s="40">
        <f>T7-W4</f>
        <v>1712.8</v>
      </c>
    </row>
    <row r="8" spans="1:23" ht="20.100000000000001" customHeight="1" x14ac:dyDescent="0.2">
      <c r="A8" s="1" t="s">
        <v>152</v>
      </c>
      <c r="B8" s="101" t="s">
        <v>31</v>
      </c>
      <c r="C8" s="109"/>
      <c r="D8" s="102">
        <v>0</v>
      </c>
      <c r="E8" s="102">
        <v>0</v>
      </c>
      <c r="F8" s="102">
        <f>2000+166.67+69.66</f>
        <v>2236.33</v>
      </c>
      <c r="G8" s="102">
        <f t="shared" si="0"/>
        <v>2236.33</v>
      </c>
      <c r="H8" s="102">
        <f t="shared" si="0"/>
        <v>2236.33</v>
      </c>
      <c r="I8" s="102">
        <f t="shared" si="0"/>
        <v>2236.33</v>
      </c>
      <c r="J8" s="102">
        <f t="shared" si="0"/>
        <v>2236.33</v>
      </c>
      <c r="K8" s="102">
        <f t="shared" si="0"/>
        <v>2236.33</v>
      </c>
      <c r="L8" s="102">
        <f t="shared" si="0"/>
        <v>2236.33</v>
      </c>
      <c r="M8" s="102">
        <f t="shared" si="0"/>
        <v>2236.33</v>
      </c>
      <c r="N8" s="102">
        <f t="shared" si="0"/>
        <v>2236.33</v>
      </c>
      <c r="O8" s="102">
        <f t="shared" si="0"/>
        <v>2236.33</v>
      </c>
      <c r="P8" s="31">
        <f t="shared" si="1"/>
        <v>22363.300000000003</v>
      </c>
      <c r="R8" s="52"/>
      <c r="S8" s="47"/>
      <c r="T8" s="52"/>
      <c r="U8" s="47"/>
      <c r="W8" s="40"/>
    </row>
    <row r="9" spans="1:23" ht="20.100000000000001" customHeight="1" x14ac:dyDescent="0.2">
      <c r="B9" s="95" t="s">
        <v>125</v>
      </c>
      <c r="C9" s="95"/>
      <c r="D9" s="19">
        <v>0</v>
      </c>
      <c r="E9" s="19">
        <v>0</v>
      </c>
      <c r="F9" s="19">
        <v>2780</v>
      </c>
      <c r="G9" s="19">
        <v>2780</v>
      </c>
      <c r="H9" s="19">
        <v>2780</v>
      </c>
      <c r="I9" s="19">
        <v>2780</v>
      </c>
      <c r="J9" s="19">
        <v>2780</v>
      </c>
      <c r="K9" s="19">
        <v>2780</v>
      </c>
      <c r="L9" s="19">
        <v>2780</v>
      </c>
      <c r="M9" s="19">
        <v>2780</v>
      </c>
      <c r="N9" s="19">
        <v>2780</v>
      </c>
      <c r="O9" s="19">
        <v>2780</v>
      </c>
      <c r="P9" s="31">
        <f t="shared" si="1"/>
        <v>27800</v>
      </c>
      <c r="S9" s="41"/>
    </row>
    <row r="10" spans="1:23" ht="20.100000000000001" customHeight="1" x14ac:dyDescent="0.2">
      <c r="B10" s="95" t="s">
        <v>77</v>
      </c>
      <c r="C10" s="95"/>
      <c r="D10" s="19">
        <v>0</v>
      </c>
      <c r="E10" s="19">
        <v>0</v>
      </c>
      <c r="F10" s="19">
        <v>1200</v>
      </c>
      <c r="G10" s="19">
        <v>1200</v>
      </c>
      <c r="H10" s="19">
        <v>1200</v>
      </c>
      <c r="I10" s="19">
        <v>1200</v>
      </c>
      <c r="J10" s="19">
        <v>1200</v>
      </c>
      <c r="K10" s="19">
        <v>1200</v>
      </c>
      <c r="L10" s="19">
        <v>1200</v>
      </c>
      <c r="M10" s="19">
        <v>1200</v>
      </c>
      <c r="N10" s="19">
        <v>1200</v>
      </c>
      <c r="O10" s="19">
        <v>1200</v>
      </c>
      <c r="P10" s="31">
        <f t="shared" si="1"/>
        <v>12000</v>
      </c>
    </row>
    <row r="11" spans="1:23" ht="20.100000000000001" customHeight="1" x14ac:dyDescent="0.2">
      <c r="B11" s="95" t="s">
        <v>46</v>
      </c>
      <c r="C11" s="95"/>
      <c r="D11" s="19">
        <v>0</v>
      </c>
      <c r="E11" s="19">
        <v>0</v>
      </c>
      <c r="F11" s="19">
        <v>1557</v>
      </c>
      <c r="G11" s="19">
        <v>1557</v>
      </c>
      <c r="H11" s="19">
        <v>1557</v>
      </c>
      <c r="I11" s="19">
        <v>1557</v>
      </c>
      <c r="J11" s="19">
        <v>1557</v>
      </c>
      <c r="K11" s="19">
        <v>1557</v>
      </c>
      <c r="L11" s="19">
        <v>1557</v>
      </c>
      <c r="M11" s="19">
        <v>1557</v>
      </c>
      <c r="N11" s="19">
        <v>1557</v>
      </c>
      <c r="O11" s="19">
        <v>1557</v>
      </c>
      <c r="P11" s="31">
        <f t="shared" si="1"/>
        <v>15570</v>
      </c>
      <c r="R11" s="40"/>
    </row>
    <row r="12" spans="1:23" ht="20.100000000000001" customHeight="1" x14ac:dyDescent="0.2">
      <c r="A12" s="1">
        <f>1/12</f>
        <v>8.3333333333333329E-2</v>
      </c>
      <c r="B12" s="95" t="s">
        <v>47</v>
      </c>
      <c r="C12" s="95"/>
      <c r="D12" s="19">
        <v>0</v>
      </c>
      <c r="E12" s="19">
        <v>0</v>
      </c>
      <c r="F12" s="19">
        <v>1168</v>
      </c>
      <c r="G12" s="19">
        <v>1168</v>
      </c>
      <c r="H12" s="19">
        <v>1168</v>
      </c>
      <c r="I12" s="19">
        <v>1168</v>
      </c>
      <c r="J12" s="19">
        <v>1168</v>
      </c>
      <c r="K12" s="19">
        <v>1168</v>
      </c>
      <c r="L12" s="19">
        <v>1168</v>
      </c>
      <c r="M12" s="19">
        <v>1168</v>
      </c>
      <c r="N12" s="19">
        <v>1168</v>
      </c>
      <c r="O12" s="19">
        <v>1168</v>
      </c>
      <c r="P12" s="31">
        <f t="shared" si="1"/>
        <v>11680</v>
      </c>
      <c r="R12" s="40"/>
    </row>
    <row r="13" spans="1:23" ht="20.100000000000001" customHeight="1" x14ac:dyDescent="0.2">
      <c r="B13" s="3" t="s">
        <v>127</v>
      </c>
      <c r="C13" s="3"/>
      <c r="D13" s="19">
        <v>0</v>
      </c>
      <c r="E13" s="19">
        <v>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19">
        <v>100</v>
      </c>
      <c r="N13" s="19">
        <v>100</v>
      </c>
      <c r="O13" s="19">
        <v>100</v>
      </c>
      <c r="P13" s="31">
        <f t="shared" si="1"/>
        <v>1000</v>
      </c>
    </row>
    <row r="14" spans="1:23" ht="20.100000000000001" customHeight="1" x14ac:dyDescent="0.2">
      <c r="B14" s="101" t="s">
        <v>154</v>
      </c>
      <c r="C14" s="101" t="s">
        <v>159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31">
        <f t="shared" si="1"/>
        <v>0</v>
      </c>
    </row>
    <row r="15" spans="1:23" ht="20.100000000000001" customHeight="1" x14ac:dyDescent="0.2">
      <c r="B15" s="3" t="s">
        <v>53</v>
      </c>
      <c r="C15" s="3"/>
      <c r="D15" s="19">
        <v>0</v>
      </c>
      <c r="E15" s="19">
        <v>0</v>
      </c>
      <c r="F15" s="19">
        <f t="shared" ref="F15:O15" si="2">174*4</f>
        <v>696</v>
      </c>
      <c r="G15" s="19">
        <f t="shared" si="2"/>
        <v>696</v>
      </c>
      <c r="H15" s="19">
        <f t="shared" si="2"/>
        <v>696</v>
      </c>
      <c r="I15" s="19">
        <f t="shared" si="2"/>
        <v>696</v>
      </c>
      <c r="J15" s="19">
        <f t="shared" si="2"/>
        <v>696</v>
      </c>
      <c r="K15" s="19">
        <f t="shared" si="2"/>
        <v>696</v>
      </c>
      <c r="L15" s="19">
        <f t="shared" si="2"/>
        <v>696</v>
      </c>
      <c r="M15" s="19">
        <f t="shared" si="2"/>
        <v>696</v>
      </c>
      <c r="N15" s="19">
        <f t="shared" si="2"/>
        <v>696</v>
      </c>
      <c r="O15" s="19">
        <f t="shared" si="2"/>
        <v>696</v>
      </c>
      <c r="P15" s="31">
        <f t="shared" si="1"/>
        <v>6960</v>
      </c>
    </row>
    <row r="16" spans="1:23" ht="20.100000000000001" customHeight="1" x14ac:dyDescent="0.2">
      <c r="B16" s="3" t="s">
        <v>54</v>
      </c>
      <c r="C16" s="3"/>
      <c r="D16" s="19">
        <v>0</v>
      </c>
      <c r="E16" s="19">
        <v>0</v>
      </c>
      <c r="F16" s="19">
        <f t="shared" ref="F16:O16" si="3">(4*20)*4</f>
        <v>320</v>
      </c>
      <c r="G16" s="19">
        <f t="shared" si="3"/>
        <v>320</v>
      </c>
      <c r="H16" s="19">
        <f t="shared" si="3"/>
        <v>320</v>
      </c>
      <c r="I16" s="19">
        <f t="shared" si="3"/>
        <v>320</v>
      </c>
      <c r="J16" s="19">
        <f t="shared" si="3"/>
        <v>320</v>
      </c>
      <c r="K16" s="19">
        <f t="shared" si="3"/>
        <v>320</v>
      </c>
      <c r="L16" s="19">
        <f t="shared" si="3"/>
        <v>320</v>
      </c>
      <c r="M16" s="19">
        <f t="shared" si="3"/>
        <v>320</v>
      </c>
      <c r="N16" s="19">
        <f t="shared" si="3"/>
        <v>320</v>
      </c>
      <c r="O16" s="19">
        <f t="shared" si="3"/>
        <v>320</v>
      </c>
      <c r="P16" s="31">
        <f t="shared" si="1"/>
        <v>3200</v>
      </c>
    </row>
    <row r="17" spans="1:28" ht="20.100000000000001" customHeight="1" x14ac:dyDescent="0.2">
      <c r="B17" s="3" t="s">
        <v>66</v>
      </c>
      <c r="C17" s="3"/>
      <c r="D17" s="19">
        <v>0</v>
      </c>
      <c r="E17" s="19">
        <v>0</v>
      </c>
      <c r="F17" s="19">
        <f t="shared" ref="F17:O17" si="4">(F10)*40%</f>
        <v>480</v>
      </c>
      <c r="G17" s="19">
        <f t="shared" si="4"/>
        <v>480</v>
      </c>
      <c r="H17" s="19">
        <f t="shared" si="4"/>
        <v>480</v>
      </c>
      <c r="I17" s="19">
        <f t="shared" si="4"/>
        <v>480</v>
      </c>
      <c r="J17" s="19">
        <f t="shared" si="4"/>
        <v>480</v>
      </c>
      <c r="K17" s="19">
        <f t="shared" si="4"/>
        <v>480</v>
      </c>
      <c r="L17" s="19">
        <f t="shared" si="4"/>
        <v>480</v>
      </c>
      <c r="M17" s="19">
        <f t="shared" si="4"/>
        <v>480</v>
      </c>
      <c r="N17" s="19">
        <f t="shared" si="4"/>
        <v>480</v>
      </c>
      <c r="O17" s="19">
        <f t="shared" si="4"/>
        <v>480</v>
      </c>
      <c r="P17" s="31">
        <f t="shared" si="1"/>
        <v>4800</v>
      </c>
    </row>
    <row r="18" spans="1:28" ht="20.100000000000001" customHeight="1" x14ac:dyDescent="0.2">
      <c r="A18" s="1" t="s">
        <v>140</v>
      </c>
      <c r="B18" s="3" t="s">
        <v>67</v>
      </c>
      <c r="C18" s="3"/>
      <c r="D18" s="19">
        <v>0</v>
      </c>
      <c r="E18" s="19">
        <v>0</v>
      </c>
      <c r="F18" s="19">
        <v>100</v>
      </c>
      <c r="G18" s="19">
        <v>100</v>
      </c>
      <c r="H18" s="19">
        <v>100</v>
      </c>
      <c r="I18" s="19">
        <v>100</v>
      </c>
      <c r="J18" s="19">
        <v>100</v>
      </c>
      <c r="K18" s="19">
        <v>100</v>
      </c>
      <c r="L18" s="19">
        <v>100</v>
      </c>
      <c r="M18" s="19">
        <v>100</v>
      </c>
      <c r="N18" s="19">
        <v>100</v>
      </c>
      <c r="O18" s="19">
        <v>100</v>
      </c>
      <c r="P18" s="31">
        <f t="shared" si="1"/>
        <v>1000</v>
      </c>
    </row>
    <row r="19" spans="1:28" ht="20.100000000000001" customHeight="1" x14ac:dyDescent="0.2">
      <c r="B19" s="3" t="s">
        <v>128</v>
      </c>
      <c r="C19" s="3"/>
      <c r="D19" s="19">
        <v>0</v>
      </c>
      <c r="E19" s="19">
        <v>0</v>
      </c>
      <c r="F19" s="19">
        <v>400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31">
        <f t="shared" si="1"/>
        <v>400</v>
      </c>
    </row>
    <row r="20" spans="1:28" ht="20.100000000000001" customHeight="1" x14ac:dyDescent="0.2">
      <c r="B20" s="101" t="s">
        <v>163</v>
      </c>
      <c r="C20" s="101" t="s">
        <v>159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31">
        <f t="shared" si="1"/>
        <v>0</v>
      </c>
    </row>
    <row r="21" spans="1:28" ht="20.100000000000001" customHeight="1" x14ac:dyDescent="0.2">
      <c r="B21" s="101" t="s">
        <v>155</v>
      </c>
      <c r="C21" s="101" t="s">
        <v>159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31">
        <f t="shared" si="1"/>
        <v>0</v>
      </c>
    </row>
    <row r="22" spans="1:28" ht="20.100000000000001" customHeight="1" x14ac:dyDescent="0.2"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28" ht="20.100000000000001" customHeight="1" x14ac:dyDescent="0.2">
      <c r="B23" s="17" t="s">
        <v>9</v>
      </c>
      <c r="C23" s="17"/>
      <c r="D23" s="31">
        <f>SUM(D5:D21)</f>
        <v>0</v>
      </c>
      <c r="E23" s="31">
        <f t="shared" ref="E23:P23" si="5">SUM(E5:E21)</f>
        <v>0</v>
      </c>
      <c r="F23" s="31">
        <f t="shared" si="5"/>
        <v>15509.99</v>
      </c>
      <c r="G23" s="31">
        <f t="shared" si="5"/>
        <v>15109.99</v>
      </c>
      <c r="H23" s="31">
        <f t="shared" si="5"/>
        <v>15109.99</v>
      </c>
      <c r="I23" s="31">
        <f t="shared" si="5"/>
        <v>15109.99</v>
      </c>
      <c r="J23" s="31">
        <f t="shared" si="5"/>
        <v>15109.99</v>
      </c>
      <c r="K23" s="31">
        <f t="shared" si="5"/>
        <v>15109.99</v>
      </c>
      <c r="L23" s="31">
        <f t="shared" si="5"/>
        <v>15109.99</v>
      </c>
      <c r="M23" s="31">
        <f t="shared" si="5"/>
        <v>15109.99</v>
      </c>
      <c r="N23" s="31">
        <f t="shared" si="5"/>
        <v>15109.99</v>
      </c>
      <c r="O23" s="31">
        <f t="shared" si="5"/>
        <v>15109.99</v>
      </c>
      <c r="P23" s="31">
        <f t="shared" si="5"/>
        <v>151499.90000000002</v>
      </c>
      <c r="R23" s="40"/>
      <c r="S23" s="40"/>
    </row>
    <row r="24" spans="1:28" ht="20.100000000000001" customHeight="1" x14ac:dyDescent="0.2">
      <c r="B24" s="5" t="s">
        <v>23</v>
      </c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  <c r="N24" s="6"/>
      <c r="O24" s="6"/>
      <c r="P24" s="30"/>
    </row>
    <row r="25" spans="1:28" ht="20.100000000000001" customHeight="1" x14ac:dyDescent="0.2">
      <c r="B25" s="3" t="s">
        <v>7</v>
      </c>
      <c r="C25" s="3"/>
      <c r="D25" s="19">
        <v>1800</v>
      </c>
      <c r="E25" s="19">
        <v>1800</v>
      </c>
      <c r="F25" s="19">
        <v>1800</v>
      </c>
      <c r="G25" s="19">
        <v>1800</v>
      </c>
      <c r="H25" s="19">
        <v>1800</v>
      </c>
      <c r="I25" s="19">
        <v>1800</v>
      </c>
      <c r="J25" s="19">
        <v>1800</v>
      </c>
      <c r="K25" s="19">
        <v>1800</v>
      </c>
      <c r="L25" s="19">
        <v>1800</v>
      </c>
      <c r="M25" s="19">
        <v>1800</v>
      </c>
      <c r="N25" s="19">
        <v>1800</v>
      </c>
      <c r="O25" s="19">
        <v>1800</v>
      </c>
      <c r="P25" s="31">
        <f>SUM(D25:O25)</f>
        <v>21600</v>
      </c>
      <c r="AB25" s="8"/>
    </row>
    <row r="26" spans="1:28" ht="20.100000000000001" customHeight="1" x14ac:dyDescent="0.2">
      <c r="B26" s="3" t="s">
        <v>8</v>
      </c>
      <c r="C26" s="3"/>
      <c r="D26" s="19">
        <f>(D25*20%)</f>
        <v>360</v>
      </c>
      <c r="E26" s="19">
        <f t="shared" ref="E26:O26" si="6">(E25*20%)</f>
        <v>360</v>
      </c>
      <c r="F26" s="19">
        <f t="shared" si="6"/>
        <v>360</v>
      </c>
      <c r="G26" s="19">
        <f t="shared" si="6"/>
        <v>360</v>
      </c>
      <c r="H26" s="19">
        <f t="shared" si="6"/>
        <v>360</v>
      </c>
      <c r="I26" s="19">
        <f t="shared" si="6"/>
        <v>360</v>
      </c>
      <c r="J26" s="19">
        <f t="shared" si="6"/>
        <v>360</v>
      </c>
      <c r="K26" s="19">
        <f t="shared" si="6"/>
        <v>360</v>
      </c>
      <c r="L26" s="19">
        <f t="shared" si="6"/>
        <v>360</v>
      </c>
      <c r="M26" s="19">
        <f t="shared" si="6"/>
        <v>360</v>
      </c>
      <c r="N26" s="19">
        <f t="shared" si="6"/>
        <v>360</v>
      </c>
      <c r="O26" s="19">
        <f t="shared" si="6"/>
        <v>360</v>
      </c>
      <c r="P26" s="31">
        <f>SUM(D26:O26)</f>
        <v>4320</v>
      </c>
      <c r="AB26" s="8"/>
    </row>
    <row r="27" spans="1:28" ht="20.100000000000001" customHeight="1" x14ac:dyDescent="0.2">
      <c r="B27" s="3" t="s">
        <v>38</v>
      </c>
      <c r="C27" s="3"/>
      <c r="D27" s="19">
        <f>D25*4%</f>
        <v>72</v>
      </c>
      <c r="E27" s="19">
        <f t="shared" ref="E27:O27" si="7">E25*4%</f>
        <v>72</v>
      </c>
      <c r="F27" s="19">
        <f t="shared" si="7"/>
        <v>72</v>
      </c>
      <c r="G27" s="19">
        <f t="shared" si="7"/>
        <v>72</v>
      </c>
      <c r="H27" s="19">
        <f t="shared" si="7"/>
        <v>72</v>
      </c>
      <c r="I27" s="19">
        <f t="shared" si="7"/>
        <v>72</v>
      </c>
      <c r="J27" s="19">
        <f t="shared" si="7"/>
        <v>72</v>
      </c>
      <c r="K27" s="19">
        <f t="shared" si="7"/>
        <v>72</v>
      </c>
      <c r="L27" s="19">
        <f t="shared" si="7"/>
        <v>72</v>
      </c>
      <c r="M27" s="19">
        <f t="shared" si="7"/>
        <v>72</v>
      </c>
      <c r="N27" s="19">
        <f t="shared" si="7"/>
        <v>72</v>
      </c>
      <c r="O27" s="19">
        <f t="shared" si="7"/>
        <v>72</v>
      </c>
      <c r="P27" s="31">
        <f>P25*4%</f>
        <v>864</v>
      </c>
      <c r="AB27" s="8"/>
    </row>
    <row r="28" spans="1:28" ht="20.100000000000001" customHeight="1" x14ac:dyDescent="0.2">
      <c r="B28" s="3"/>
      <c r="C28" s="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31"/>
      <c r="AB28" s="8"/>
    </row>
    <row r="29" spans="1:28" s="9" customFormat="1" ht="20.100000000000001" customHeight="1" x14ac:dyDescent="0.2">
      <c r="B29" s="17" t="s">
        <v>9</v>
      </c>
      <c r="C29" s="17"/>
      <c r="D29" s="18">
        <f>SUM(D25:D27)</f>
        <v>2232</v>
      </c>
      <c r="E29" s="18">
        <f t="shared" ref="E29:P29" si="8">SUM(E25:E27)</f>
        <v>2232</v>
      </c>
      <c r="F29" s="18">
        <f t="shared" si="8"/>
        <v>2232</v>
      </c>
      <c r="G29" s="18">
        <f t="shared" si="8"/>
        <v>2232</v>
      </c>
      <c r="H29" s="18">
        <f t="shared" si="8"/>
        <v>2232</v>
      </c>
      <c r="I29" s="18">
        <f t="shared" si="8"/>
        <v>2232</v>
      </c>
      <c r="J29" s="18">
        <f t="shared" si="8"/>
        <v>2232</v>
      </c>
      <c r="K29" s="18">
        <f t="shared" si="8"/>
        <v>2232</v>
      </c>
      <c r="L29" s="18">
        <f t="shared" si="8"/>
        <v>2232</v>
      </c>
      <c r="M29" s="18">
        <f t="shared" si="8"/>
        <v>2232</v>
      </c>
      <c r="N29" s="18">
        <f t="shared" si="8"/>
        <v>2232</v>
      </c>
      <c r="O29" s="18">
        <f t="shared" si="8"/>
        <v>2232</v>
      </c>
      <c r="P29" s="18">
        <f t="shared" si="8"/>
        <v>26784</v>
      </c>
      <c r="AB29" s="8"/>
    </row>
    <row r="30" spans="1:28" ht="20.100000000000001" customHeight="1" x14ac:dyDescent="0.25">
      <c r="B30" s="5" t="s">
        <v>24</v>
      </c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30"/>
      <c r="AB30"/>
    </row>
    <row r="31" spans="1:28" ht="20.100000000000001" customHeight="1" x14ac:dyDescent="0.2">
      <c r="B31" s="3" t="s">
        <v>142</v>
      </c>
      <c r="C31" s="3"/>
      <c r="D31" s="19">
        <v>6000</v>
      </c>
      <c r="E31" s="19">
        <v>6000</v>
      </c>
      <c r="F31" s="19">
        <v>6000</v>
      </c>
      <c r="G31" s="19">
        <v>6000</v>
      </c>
      <c r="H31" s="19">
        <v>6000</v>
      </c>
      <c r="I31" s="19">
        <v>6000</v>
      </c>
      <c r="J31" s="19">
        <v>6000</v>
      </c>
      <c r="K31" s="19">
        <v>6000</v>
      </c>
      <c r="L31" s="19">
        <v>6000</v>
      </c>
      <c r="M31" s="19">
        <v>6000</v>
      </c>
      <c r="N31" s="19">
        <v>6000</v>
      </c>
      <c r="O31" s="19">
        <v>6000</v>
      </c>
      <c r="P31" s="31">
        <f>SUM(D31:O31)</f>
        <v>72000</v>
      </c>
      <c r="AB31" s="8"/>
    </row>
    <row r="32" spans="1:28" ht="20.100000000000001" customHeight="1" x14ac:dyDescent="0.2">
      <c r="B32" s="3" t="s">
        <v>141</v>
      </c>
      <c r="C32" s="3"/>
      <c r="D32" s="19">
        <v>6000</v>
      </c>
      <c r="E32" s="19">
        <v>6000</v>
      </c>
      <c r="F32" s="19">
        <v>6000</v>
      </c>
      <c r="G32" s="19">
        <v>6000</v>
      </c>
      <c r="H32" s="19">
        <v>6000</v>
      </c>
      <c r="I32" s="19">
        <v>6000</v>
      </c>
      <c r="J32" s="19">
        <v>6000</v>
      </c>
      <c r="K32" s="19">
        <v>6000</v>
      </c>
      <c r="L32" s="19">
        <v>6000</v>
      </c>
      <c r="M32" s="19">
        <v>6000</v>
      </c>
      <c r="N32" s="19">
        <v>6000</v>
      </c>
      <c r="O32" s="19">
        <v>6000</v>
      </c>
      <c r="P32" s="31">
        <f t="shared" ref="P32:P39" si="9">SUM(D32:O32)</f>
        <v>72000</v>
      </c>
      <c r="AB32" s="8"/>
    </row>
    <row r="33" spans="2:30" ht="20.100000000000001" customHeight="1" x14ac:dyDescent="0.2">
      <c r="B33" s="3" t="s">
        <v>147</v>
      </c>
      <c r="C33" s="3"/>
      <c r="D33" s="19">
        <f>40*40</f>
        <v>1600</v>
      </c>
      <c r="E33" s="19">
        <v>3600</v>
      </c>
      <c r="F33" s="19">
        <f t="shared" ref="F33:O33" si="10">40*40</f>
        <v>1600</v>
      </c>
      <c r="G33" s="19">
        <v>3600</v>
      </c>
      <c r="H33" s="19">
        <f t="shared" si="10"/>
        <v>1600</v>
      </c>
      <c r="I33" s="19">
        <v>3600</v>
      </c>
      <c r="J33" s="19">
        <f t="shared" si="10"/>
        <v>1600</v>
      </c>
      <c r="K33" s="19">
        <v>3600</v>
      </c>
      <c r="L33" s="19">
        <f t="shared" si="10"/>
        <v>1600</v>
      </c>
      <c r="M33" s="19">
        <v>3600</v>
      </c>
      <c r="N33" s="19">
        <v>3600</v>
      </c>
      <c r="O33" s="19">
        <f t="shared" si="10"/>
        <v>1600</v>
      </c>
      <c r="P33" s="31">
        <f t="shared" si="9"/>
        <v>31200</v>
      </c>
      <c r="AB33" s="8"/>
    </row>
    <row r="34" spans="2:30" ht="20.100000000000001" customHeight="1" x14ac:dyDescent="0.2">
      <c r="B34" s="3" t="s">
        <v>148</v>
      </c>
      <c r="C34" s="3"/>
      <c r="D34" s="19">
        <v>2500</v>
      </c>
      <c r="E34" s="19">
        <v>2500</v>
      </c>
      <c r="F34" s="19">
        <v>2500</v>
      </c>
      <c r="G34" s="19">
        <v>2500</v>
      </c>
      <c r="H34" s="19">
        <v>2500</v>
      </c>
      <c r="I34" s="19">
        <v>2500</v>
      </c>
      <c r="J34" s="19">
        <v>2500</v>
      </c>
      <c r="K34" s="19">
        <v>2500</v>
      </c>
      <c r="L34" s="19">
        <v>2500</v>
      </c>
      <c r="M34" s="19">
        <v>2500</v>
      </c>
      <c r="N34" s="19">
        <v>2500</v>
      </c>
      <c r="O34" s="19">
        <v>2500</v>
      </c>
      <c r="P34" s="31">
        <f>SUM(D34:O34)</f>
        <v>30000</v>
      </c>
      <c r="R34" s="40"/>
    </row>
    <row r="35" spans="2:30" ht="38.25" x14ac:dyDescent="0.2">
      <c r="B35" s="100" t="s">
        <v>146</v>
      </c>
      <c r="C35" s="100" t="s">
        <v>160</v>
      </c>
      <c r="D35" s="98">
        <v>3000</v>
      </c>
      <c r="E35" s="98">
        <v>3000</v>
      </c>
      <c r="F35" s="98">
        <v>3000</v>
      </c>
      <c r="G35" s="98">
        <v>3000</v>
      </c>
      <c r="H35" s="98">
        <v>3000</v>
      </c>
      <c r="I35" s="98">
        <v>3000</v>
      </c>
      <c r="J35" s="98">
        <v>3000</v>
      </c>
      <c r="K35" s="98">
        <v>3000</v>
      </c>
      <c r="L35" s="98">
        <v>3000</v>
      </c>
      <c r="M35" s="98">
        <v>3000</v>
      </c>
      <c r="N35" s="98">
        <v>3000</v>
      </c>
      <c r="O35" s="98">
        <v>3000</v>
      </c>
      <c r="P35" s="31">
        <f t="shared" si="9"/>
        <v>36000</v>
      </c>
      <c r="R35" s="40"/>
    </row>
    <row r="36" spans="2:30" ht="20.100000000000001" customHeight="1" x14ac:dyDescent="0.2">
      <c r="B36" s="3" t="s">
        <v>29</v>
      </c>
      <c r="C36" s="3"/>
      <c r="D36" s="19">
        <v>2000</v>
      </c>
      <c r="E36" s="19">
        <v>2000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31">
        <f t="shared" si="9"/>
        <v>4000</v>
      </c>
      <c r="R36" s="40"/>
    </row>
    <row r="37" spans="2:30" ht="20.100000000000001" customHeight="1" x14ac:dyDescent="0.2">
      <c r="B37" s="3" t="s">
        <v>30</v>
      </c>
      <c r="C37" s="3"/>
      <c r="D37" s="19">
        <v>2000</v>
      </c>
      <c r="E37" s="19">
        <v>2000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31">
        <f t="shared" si="9"/>
        <v>4000</v>
      </c>
      <c r="R37" s="40"/>
    </row>
    <row r="38" spans="2:30" ht="20.100000000000001" customHeight="1" x14ac:dyDescent="0.2">
      <c r="B38" s="3" t="s">
        <v>31</v>
      </c>
      <c r="C38" s="3"/>
      <c r="D38" s="19">
        <v>2000</v>
      </c>
      <c r="E38" s="19">
        <v>2000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31">
        <f t="shared" si="9"/>
        <v>4000</v>
      </c>
      <c r="R38" s="40"/>
    </row>
    <row r="39" spans="2:30" ht="20.100000000000001" customHeight="1" x14ac:dyDescent="0.2">
      <c r="B39" s="3" t="s">
        <v>37</v>
      </c>
      <c r="C39" s="3"/>
      <c r="D39" s="19">
        <v>6200</v>
      </c>
      <c r="E39" s="19">
        <v>6200</v>
      </c>
      <c r="F39" s="19">
        <v>6200</v>
      </c>
      <c r="G39" s="19">
        <v>6200</v>
      </c>
      <c r="H39" s="19">
        <v>6200</v>
      </c>
      <c r="I39" s="19">
        <v>6200</v>
      </c>
      <c r="J39" s="19">
        <v>6200</v>
      </c>
      <c r="K39" s="19">
        <v>6200</v>
      </c>
      <c r="L39" s="19">
        <v>6200</v>
      </c>
      <c r="M39" s="19">
        <v>6200</v>
      </c>
      <c r="N39" s="19">
        <v>6200</v>
      </c>
      <c r="O39" s="19">
        <v>6200</v>
      </c>
      <c r="P39" s="31">
        <f t="shared" si="9"/>
        <v>74400</v>
      </c>
    </row>
    <row r="40" spans="2:30" ht="38.25" x14ac:dyDescent="0.2">
      <c r="B40" s="100" t="s">
        <v>64</v>
      </c>
      <c r="C40" s="100" t="s">
        <v>162</v>
      </c>
      <c r="D40" s="98">
        <v>0</v>
      </c>
      <c r="E40" s="98">
        <v>0</v>
      </c>
      <c r="F40" s="98">
        <v>100</v>
      </c>
      <c r="G40" s="98">
        <v>100</v>
      </c>
      <c r="H40" s="98">
        <v>100</v>
      </c>
      <c r="I40" s="98">
        <v>100</v>
      </c>
      <c r="J40" s="98">
        <v>100</v>
      </c>
      <c r="K40" s="98">
        <v>100</v>
      </c>
      <c r="L40" s="98">
        <v>100</v>
      </c>
      <c r="M40" s="98">
        <v>100</v>
      </c>
      <c r="N40" s="98">
        <v>100</v>
      </c>
      <c r="O40" s="98">
        <v>100</v>
      </c>
      <c r="P40" s="116">
        <f t="shared" ref="P40" si="11">SUM(D40:O40)</f>
        <v>1000</v>
      </c>
    </row>
    <row r="41" spans="2:30" ht="20.100000000000001" customHeight="1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2"/>
      <c r="T41" s="40"/>
    </row>
    <row r="42" spans="2:30" s="9" customFormat="1" ht="20.100000000000001" customHeight="1" x14ac:dyDescent="0.2">
      <c r="B42" s="20" t="s">
        <v>9</v>
      </c>
      <c r="C42" s="20"/>
      <c r="D42" s="21">
        <f>SUM(D31:D40)</f>
        <v>31300</v>
      </c>
      <c r="E42" s="21">
        <f t="shared" ref="E42:P42" si="12">SUM(E31:E40)</f>
        <v>33300</v>
      </c>
      <c r="F42" s="21">
        <f t="shared" si="12"/>
        <v>25400</v>
      </c>
      <c r="G42" s="21">
        <f t="shared" si="12"/>
        <v>27400</v>
      </c>
      <c r="H42" s="21">
        <f t="shared" si="12"/>
        <v>25400</v>
      </c>
      <c r="I42" s="21">
        <f t="shared" si="12"/>
        <v>27400</v>
      </c>
      <c r="J42" s="21">
        <f t="shared" si="12"/>
        <v>25400</v>
      </c>
      <c r="K42" s="21">
        <f t="shared" si="12"/>
        <v>27400</v>
      </c>
      <c r="L42" s="21">
        <f t="shared" si="12"/>
        <v>25400</v>
      </c>
      <c r="M42" s="21">
        <f t="shared" si="12"/>
        <v>27400</v>
      </c>
      <c r="N42" s="21">
        <f t="shared" si="12"/>
        <v>27400</v>
      </c>
      <c r="O42" s="21">
        <f t="shared" si="12"/>
        <v>25400</v>
      </c>
      <c r="P42" s="21">
        <f t="shared" si="12"/>
        <v>328600</v>
      </c>
      <c r="Q42" s="25"/>
      <c r="R42" s="1"/>
      <c r="S42" s="1"/>
    </row>
    <row r="43" spans="2:30" ht="20.100000000000001" customHeight="1" x14ac:dyDescent="0.2">
      <c r="B43" s="13" t="s">
        <v>11</v>
      </c>
      <c r="C43" s="13"/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  <c r="P43" s="33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0" s="16" customFormat="1" ht="20.100000000000001" customHeight="1" x14ac:dyDescent="0.2">
      <c r="B44" s="15" t="s">
        <v>12</v>
      </c>
      <c r="C44" s="15"/>
      <c r="D44" s="19">
        <v>950</v>
      </c>
      <c r="E44" s="19">
        <v>1900</v>
      </c>
      <c r="F44" s="19">
        <v>1900</v>
      </c>
      <c r="G44" s="19">
        <v>1900</v>
      </c>
      <c r="H44" s="19">
        <v>1900</v>
      </c>
      <c r="I44" s="19">
        <v>1900</v>
      </c>
      <c r="J44" s="19">
        <v>1900</v>
      </c>
      <c r="K44" s="19">
        <v>1900</v>
      </c>
      <c r="L44" s="19">
        <v>1900</v>
      </c>
      <c r="M44" s="19">
        <v>1900</v>
      </c>
      <c r="N44" s="19">
        <v>1900</v>
      </c>
      <c r="O44" s="19">
        <v>950</v>
      </c>
      <c r="P44" s="34">
        <f>SUM(D44:O44)</f>
        <v>20900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2:30" ht="20.100000000000001" customHeight="1" x14ac:dyDescent="0.2">
      <c r="B45" s="15" t="s">
        <v>13</v>
      </c>
      <c r="C45" s="15"/>
      <c r="D45" s="19">
        <v>1000</v>
      </c>
      <c r="E45" s="19">
        <v>1500</v>
      </c>
      <c r="F45" s="19">
        <v>1500</v>
      </c>
      <c r="G45" s="19">
        <v>1500</v>
      </c>
      <c r="H45" s="19">
        <v>1500</v>
      </c>
      <c r="I45" s="19">
        <v>1500</v>
      </c>
      <c r="J45" s="19">
        <v>1500</v>
      </c>
      <c r="K45" s="19">
        <v>1500</v>
      </c>
      <c r="L45" s="19">
        <v>1500</v>
      </c>
      <c r="M45" s="19">
        <v>1500</v>
      </c>
      <c r="N45" s="19">
        <v>1500</v>
      </c>
      <c r="O45" s="19">
        <v>1000</v>
      </c>
      <c r="P45" s="34">
        <f t="shared" ref="P45:P48" si="13">SUM(D45:O45)</f>
        <v>17000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2:30" ht="20.100000000000001" customHeight="1" x14ac:dyDescent="0.2">
      <c r="B46" s="15" t="s">
        <v>25</v>
      </c>
      <c r="C46" s="15"/>
      <c r="D46" s="19">
        <v>200</v>
      </c>
      <c r="E46" s="19">
        <v>200</v>
      </c>
      <c r="F46" s="19">
        <v>200</v>
      </c>
      <c r="G46" s="19">
        <v>200</v>
      </c>
      <c r="H46" s="19">
        <v>200</v>
      </c>
      <c r="I46" s="19">
        <v>200</v>
      </c>
      <c r="J46" s="19">
        <v>200</v>
      </c>
      <c r="K46" s="19">
        <v>200</v>
      </c>
      <c r="L46" s="19">
        <v>200</v>
      </c>
      <c r="M46" s="19">
        <v>200</v>
      </c>
      <c r="N46" s="19">
        <v>200</v>
      </c>
      <c r="O46" s="19">
        <v>200</v>
      </c>
      <c r="P46" s="34">
        <f t="shared" si="13"/>
        <v>2400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2:30" ht="20.100000000000001" customHeight="1" x14ac:dyDescent="0.2">
      <c r="B47" s="15" t="s">
        <v>14</v>
      </c>
      <c r="C47" s="15"/>
      <c r="D47" s="19">
        <v>100</v>
      </c>
      <c r="E47" s="19">
        <v>100</v>
      </c>
      <c r="F47" s="19">
        <v>100</v>
      </c>
      <c r="G47" s="19">
        <v>100</v>
      </c>
      <c r="H47" s="19">
        <v>100</v>
      </c>
      <c r="I47" s="19">
        <v>100</v>
      </c>
      <c r="J47" s="19">
        <v>100</v>
      </c>
      <c r="K47" s="19">
        <v>100</v>
      </c>
      <c r="L47" s="19">
        <v>100</v>
      </c>
      <c r="M47" s="19">
        <v>100</v>
      </c>
      <c r="N47" s="19">
        <v>100</v>
      </c>
      <c r="O47" s="19">
        <v>100</v>
      </c>
      <c r="P47" s="34">
        <f t="shared" si="13"/>
        <v>1200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2:30" s="16" customFormat="1" ht="20.100000000000001" customHeight="1" x14ac:dyDescent="0.2">
      <c r="B48" s="15" t="s">
        <v>15</v>
      </c>
      <c r="C48" s="15"/>
      <c r="D48" s="19">
        <v>150</v>
      </c>
      <c r="E48" s="19">
        <v>150</v>
      </c>
      <c r="F48" s="19">
        <v>150</v>
      </c>
      <c r="G48" s="19">
        <v>150</v>
      </c>
      <c r="H48" s="19">
        <v>150</v>
      </c>
      <c r="I48" s="19">
        <v>150</v>
      </c>
      <c r="J48" s="19">
        <v>150</v>
      </c>
      <c r="K48" s="19">
        <v>150</v>
      </c>
      <c r="L48" s="19">
        <v>150</v>
      </c>
      <c r="M48" s="19">
        <v>150</v>
      </c>
      <c r="N48" s="19">
        <v>150</v>
      </c>
      <c r="O48" s="19">
        <v>150</v>
      </c>
      <c r="P48" s="34">
        <f t="shared" si="13"/>
        <v>1800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2:30" ht="20.100000000000001" customHeight="1" x14ac:dyDescent="0.2">
      <c r="B49" s="15" t="s">
        <v>26</v>
      </c>
      <c r="C49" s="15"/>
      <c r="D49" s="19">
        <v>700</v>
      </c>
      <c r="E49" s="19">
        <v>700</v>
      </c>
      <c r="F49" s="19">
        <v>700</v>
      </c>
      <c r="G49" s="19">
        <v>700</v>
      </c>
      <c r="H49" s="19">
        <v>700</v>
      </c>
      <c r="I49" s="19">
        <v>700</v>
      </c>
      <c r="J49" s="19">
        <v>700</v>
      </c>
      <c r="K49" s="19">
        <v>700</v>
      </c>
      <c r="L49" s="19">
        <v>700</v>
      </c>
      <c r="M49" s="19">
        <v>700</v>
      </c>
      <c r="N49" s="19">
        <v>700</v>
      </c>
      <c r="O49" s="19">
        <v>700</v>
      </c>
      <c r="P49" s="34">
        <f>SUM(D49:O49)</f>
        <v>8400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2:30" ht="20.100000000000001" customHeight="1" x14ac:dyDescent="0.2">
      <c r="B50" s="15"/>
      <c r="C50" s="15"/>
      <c r="D50" s="15"/>
      <c r="E50" s="15"/>
      <c r="F50" s="15"/>
      <c r="G50" s="15"/>
      <c r="H50" s="15"/>
      <c r="I50" s="15"/>
      <c r="J50" s="7"/>
      <c r="K50" s="7"/>
      <c r="L50" s="7"/>
      <c r="M50" s="7"/>
      <c r="N50" s="7"/>
      <c r="O50" s="7"/>
      <c r="P50" s="3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2:30" s="9" customFormat="1" ht="20.100000000000001" customHeight="1" x14ac:dyDescent="0.2">
      <c r="B51" s="22" t="s">
        <v>9</v>
      </c>
      <c r="C51" s="22"/>
      <c r="D51" s="18">
        <f>SUM(D44:D49)</f>
        <v>3100</v>
      </c>
      <c r="E51" s="18">
        <f t="shared" ref="E51:O51" si="14">SUM(E44:E49)</f>
        <v>4550</v>
      </c>
      <c r="F51" s="18">
        <f t="shared" si="14"/>
        <v>4550</v>
      </c>
      <c r="G51" s="18">
        <f t="shared" si="14"/>
        <v>4550</v>
      </c>
      <c r="H51" s="18">
        <f t="shared" si="14"/>
        <v>4550</v>
      </c>
      <c r="I51" s="18">
        <f t="shared" si="14"/>
        <v>4550</v>
      </c>
      <c r="J51" s="18">
        <f t="shared" si="14"/>
        <v>4550</v>
      </c>
      <c r="K51" s="18">
        <f t="shared" si="14"/>
        <v>4550</v>
      </c>
      <c r="L51" s="18">
        <f t="shared" si="14"/>
        <v>4550</v>
      </c>
      <c r="M51" s="18">
        <f t="shared" si="14"/>
        <v>4550</v>
      </c>
      <c r="N51" s="18">
        <f t="shared" si="14"/>
        <v>4550</v>
      </c>
      <c r="O51" s="18">
        <f t="shared" si="14"/>
        <v>3100</v>
      </c>
      <c r="P51" s="34">
        <f>SUM(P44:P49)</f>
        <v>51700</v>
      </c>
    </row>
    <row r="52" spans="2:30" ht="20.100000000000001" customHeight="1" x14ac:dyDescent="0.2">
      <c r="B52" s="13" t="s">
        <v>16</v>
      </c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33"/>
    </row>
    <row r="53" spans="2:30" ht="20.100000000000001" customHeight="1" x14ac:dyDescent="0.2">
      <c r="B53" s="3" t="s">
        <v>28</v>
      </c>
      <c r="C53" s="3"/>
      <c r="D53" s="3">
        <v>0</v>
      </c>
      <c r="E53" s="3">
        <v>0</v>
      </c>
      <c r="F53" s="19">
        <f>7920+3960</f>
        <v>11880</v>
      </c>
      <c r="G53" s="19">
        <f>7920+3960</f>
        <v>11880</v>
      </c>
      <c r="H53" s="19">
        <v>0</v>
      </c>
      <c r="I53" s="19">
        <v>0</v>
      </c>
      <c r="J53" s="3">
        <v>0</v>
      </c>
      <c r="K53" s="3">
        <v>0</v>
      </c>
      <c r="L53" s="3">
        <v>0</v>
      </c>
      <c r="M53" s="19">
        <f>4320+2160</f>
        <v>6480</v>
      </c>
      <c r="N53" s="19">
        <f>4320+2160</f>
        <v>6480</v>
      </c>
      <c r="O53" s="3">
        <v>0</v>
      </c>
      <c r="P53" s="34">
        <f>SUM(D53:O53)</f>
        <v>36720</v>
      </c>
    </row>
    <row r="54" spans="2:30" ht="20.100000000000001" customHeight="1" x14ac:dyDescent="0.2">
      <c r="B54" s="15" t="s">
        <v>149</v>
      </c>
      <c r="C54" s="15"/>
      <c r="D54" s="15">
        <v>380</v>
      </c>
      <c r="E54" s="15">
        <v>380</v>
      </c>
      <c r="F54" s="15">
        <v>380</v>
      </c>
      <c r="G54" s="15">
        <v>380</v>
      </c>
      <c r="H54" s="15">
        <v>380</v>
      </c>
      <c r="I54" s="15">
        <v>380</v>
      </c>
      <c r="J54" s="15">
        <v>380</v>
      </c>
      <c r="K54" s="15">
        <v>380</v>
      </c>
      <c r="L54" s="15">
        <v>380</v>
      </c>
      <c r="M54" s="15">
        <v>380</v>
      </c>
      <c r="N54" s="15">
        <v>380</v>
      </c>
      <c r="O54" s="15">
        <v>380</v>
      </c>
      <c r="P54" s="34">
        <f t="shared" ref="P54:P56" si="15">SUM(D54:O54)</f>
        <v>4560</v>
      </c>
    </row>
    <row r="55" spans="2:30" ht="20.100000000000001" customHeight="1" x14ac:dyDescent="0.2">
      <c r="B55" s="15" t="s">
        <v>27</v>
      </c>
      <c r="C55" s="15"/>
      <c r="D55" s="23">
        <v>0</v>
      </c>
      <c r="E55" s="23">
        <v>0</v>
      </c>
      <c r="F55" s="23">
        <v>1900</v>
      </c>
      <c r="G55" s="23">
        <v>600</v>
      </c>
      <c r="H55" s="23">
        <v>1600</v>
      </c>
      <c r="I55" s="23">
        <v>3100</v>
      </c>
      <c r="J55" s="23">
        <v>0</v>
      </c>
      <c r="K55" s="23">
        <v>600</v>
      </c>
      <c r="L55" s="23">
        <v>2900</v>
      </c>
      <c r="M55" s="23">
        <v>1800</v>
      </c>
      <c r="N55" s="23">
        <v>0</v>
      </c>
      <c r="O55" s="23">
        <v>1900</v>
      </c>
      <c r="P55" s="34">
        <f t="shared" si="15"/>
        <v>14400</v>
      </c>
    </row>
    <row r="56" spans="2:30" ht="20.100000000000001" customHeight="1" x14ac:dyDescent="0.2">
      <c r="B56" s="15" t="s">
        <v>150</v>
      </c>
      <c r="C56" s="15"/>
      <c r="D56" s="23">
        <v>500</v>
      </c>
      <c r="E56" s="23">
        <v>3000</v>
      </c>
      <c r="F56" s="23">
        <v>1000</v>
      </c>
      <c r="G56" s="23">
        <v>1000</v>
      </c>
      <c r="H56" s="23">
        <v>1000</v>
      </c>
      <c r="I56" s="23">
        <v>1000</v>
      </c>
      <c r="J56" s="23">
        <v>1000</v>
      </c>
      <c r="K56" s="23">
        <v>1000</v>
      </c>
      <c r="L56" s="23">
        <v>1000</v>
      </c>
      <c r="M56" s="23">
        <v>1000</v>
      </c>
      <c r="N56" s="23">
        <v>1000</v>
      </c>
      <c r="O56" s="23">
        <v>500</v>
      </c>
      <c r="P56" s="34">
        <f t="shared" si="15"/>
        <v>13000</v>
      </c>
    </row>
    <row r="57" spans="2:30" ht="20.100000000000001" customHeight="1" x14ac:dyDescent="0.2">
      <c r="B57" s="3"/>
      <c r="C57" s="3"/>
      <c r="D57" s="3"/>
      <c r="E57" s="3"/>
      <c r="F57" s="3"/>
      <c r="G57" s="3"/>
      <c r="H57" s="3"/>
      <c r="I57" s="3"/>
      <c r="J57" s="10"/>
      <c r="K57" s="10"/>
      <c r="L57" s="10"/>
      <c r="M57" s="10"/>
      <c r="N57" s="10"/>
      <c r="O57" s="10"/>
      <c r="P57" s="35"/>
    </row>
    <row r="58" spans="2:30" s="9" customFormat="1" ht="20.100000000000001" customHeight="1" thickBot="1" x14ac:dyDescent="0.25">
      <c r="B58" s="17" t="s">
        <v>9</v>
      </c>
      <c r="C58" s="17"/>
      <c r="D58" s="18">
        <f>SUM(D53:D56)</f>
        <v>880</v>
      </c>
      <c r="E58" s="18">
        <f t="shared" ref="E58:O58" si="16">SUM(E53:E56)</f>
        <v>3380</v>
      </c>
      <c r="F58" s="18">
        <f t="shared" si="16"/>
        <v>15160</v>
      </c>
      <c r="G58" s="18">
        <f t="shared" si="16"/>
        <v>13860</v>
      </c>
      <c r="H58" s="18">
        <f t="shared" si="16"/>
        <v>2980</v>
      </c>
      <c r="I58" s="18">
        <f t="shared" si="16"/>
        <v>4480</v>
      </c>
      <c r="J58" s="18">
        <f t="shared" si="16"/>
        <v>1380</v>
      </c>
      <c r="K58" s="18">
        <f t="shared" si="16"/>
        <v>1980</v>
      </c>
      <c r="L58" s="18">
        <f t="shared" si="16"/>
        <v>4280</v>
      </c>
      <c r="M58" s="18">
        <f t="shared" si="16"/>
        <v>9660</v>
      </c>
      <c r="N58" s="18">
        <f t="shared" si="16"/>
        <v>7860</v>
      </c>
      <c r="O58" s="18">
        <f t="shared" si="16"/>
        <v>2780</v>
      </c>
      <c r="P58" s="34">
        <f>SUM(P53:P56)</f>
        <v>68680</v>
      </c>
      <c r="R58" s="91">
        <v>2019</v>
      </c>
    </row>
    <row r="59" spans="2:30" s="9" customFormat="1" ht="20.100000000000001" customHeight="1" thickBot="1" x14ac:dyDescent="0.25">
      <c r="B59" s="12" t="s">
        <v>10</v>
      </c>
      <c r="C59" s="99"/>
      <c r="D59" s="24">
        <f>D23+D29+D42+D51+D58</f>
        <v>37512</v>
      </c>
      <c r="E59" s="24">
        <f>E23+E29+E42+E51+E58</f>
        <v>43462</v>
      </c>
      <c r="F59" s="24">
        <f>F23+F29+F42+F51+F58</f>
        <v>62851.99</v>
      </c>
      <c r="G59" s="24">
        <f>G23+G29+G42+G51+G58</f>
        <v>63151.99</v>
      </c>
      <c r="H59" s="24">
        <f>H23+H29+H42+H51+H58</f>
        <v>50271.99</v>
      </c>
      <c r="I59" s="24">
        <f>I23+I29+I42+I51+I58</f>
        <v>53771.99</v>
      </c>
      <c r="J59" s="24">
        <f>J23+J29+J42+J51+J58</f>
        <v>48671.99</v>
      </c>
      <c r="K59" s="24">
        <f>K23+K29+K42+K51+K58</f>
        <v>51271.99</v>
      </c>
      <c r="L59" s="24">
        <f>L23+L29+L42+L51+L58</f>
        <v>51571.99</v>
      </c>
      <c r="M59" s="24">
        <f>M23+M29+M42+M51+M58</f>
        <v>58951.99</v>
      </c>
      <c r="N59" s="24">
        <f>N23+N29+N42+N51+N58</f>
        <v>57151.99</v>
      </c>
      <c r="O59" s="24">
        <f>O23+O29+O42+O51+O58</f>
        <v>48621.99</v>
      </c>
      <c r="P59" s="97">
        <f>P23+P29+P42+P51+P58</f>
        <v>627263.9</v>
      </c>
      <c r="R59" s="92">
        <v>637520</v>
      </c>
      <c r="S59" s="86">
        <f>P59-R59</f>
        <v>-10256.099999999977</v>
      </c>
      <c r="U59" s="25"/>
    </row>
    <row r="60" spans="2:30" ht="20.100000000000001" customHeight="1" x14ac:dyDescent="0.2">
      <c r="B60" s="117" t="s">
        <v>151</v>
      </c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P60" s="89"/>
      <c r="R60" s="90"/>
    </row>
    <row r="61" spans="2:30" ht="20.100000000000001" customHeight="1" x14ac:dyDescent="0.2">
      <c r="B61" s="117" t="s">
        <v>157</v>
      </c>
      <c r="C61" s="117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P61" s="89"/>
      <c r="R61" s="90"/>
    </row>
    <row r="62" spans="2:30" ht="20.100000000000001" customHeight="1" x14ac:dyDescent="0.2">
      <c r="B62" s="119" t="s">
        <v>158</v>
      </c>
      <c r="C62" s="119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</row>
    <row r="63" spans="2:30" ht="20.100000000000001" customHeight="1" x14ac:dyDescent="0.2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</row>
    <row r="64" spans="2:30" ht="20.100000000000001" customHeight="1" x14ac:dyDescent="0.2">
      <c r="B64" s="117" t="s">
        <v>164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7" spans="15:19" ht="20.100000000000001" customHeight="1" x14ac:dyDescent="0.2">
      <c r="O67" s="41">
        <v>0.05</v>
      </c>
      <c r="P67" s="36">
        <f>P59*5%</f>
        <v>31363.195000000003</v>
      </c>
      <c r="R67" s="1">
        <f>R59/160</f>
        <v>3984.5</v>
      </c>
      <c r="S67" s="1" t="s">
        <v>121</v>
      </c>
    </row>
    <row r="68" spans="15:19" ht="20.100000000000001" customHeight="1" x14ac:dyDescent="0.2">
      <c r="P68" s="89">
        <f>R59+P67</f>
        <v>668883.19499999995</v>
      </c>
      <c r="R68" s="1">
        <f>R67*100</f>
        <v>398450</v>
      </c>
      <c r="S68" s="1" t="s">
        <v>122</v>
      </c>
    </row>
    <row r="69" spans="15:19" ht="20.100000000000001" customHeight="1" x14ac:dyDescent="0.2">
      <c r="R69" s="1">
        <f>R67*140</f>
        <v>557830</v>
      </c>
      <c r="S69" s="1" t="s">
        <v>117</v>
      </c>
    </row>
    <row r="70" spans="15:19" ht="20.100000000000001" customHeight="1" x14ac:dyDescent="0.2">
      <c r="P70" s="36" t="s">
        <v>126</v>
      </c>
    </row>
    <row r="71" spans="15:19" ht="20.100000000000001" customHeight="1" x14ac:dyDescent="0.2">
      <c r="P71" s="89">
        <v>681138</v>
      </c>
    </row>
    <row r="72" spans="15:19" ht="20.100000000000001" customHeight="1" x14ac:dyDescent="0.2">
      <c r="P72" s="89">
        <f>P71-P59</f>
        <v>53874.099999999977</v>
      </c>
    </row>
  </sheetData>
  <mergeCells count="5">
    <mergeCell ref="B1:P1"/>
    <mergeCell ref="D2:F2"/>
    <mergeCell ref="G2:P2"/>
    <mergeCell ref="B62:N63"/>
    <mergeCell ref="C6:C8"/>
  </mergeCells>
  <phoneticPr fontId="7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2CB44-AC54-41C3-9102-AC8C2E1A73B7}">
  <dimension ref="B2:L19"/>
  <sheetViews>
    <sheetView topLeftCell="A13" workbookViewId="0">
      <selection activeCell="B12" sqref="B12"/>
    </sheetView>
  </sheetViews>
  <sheetFormatPr defaultRowHeight="15" x14ac:dyDescent="0.25"/>
  <cols>
    <col min="1" max="1" width="3.85546875" customWidth="1"/>
    <col min="11" max="11" width="15.5703125" customWidth="1"/>
  </cols>
  <sheetData>
    <row r="2" spans="2:12" x14ac:dyDescent="0.25">
      <c r="B2" s="39" t="s">
        <v>48</v>
      </c>
    </row>
    <row r="3" spans="2:12" x14ac:dyDescent="0.25">
      <c r="B3" t="s">
        <v>52</v>
      </c>
    </row>
    <row r="4" spans="2:12" x14ac:dyDescent="0.25">
      <c r="B4" t="s">
        <v>62</v>
      </c>
    </row>
    <row r="5" spans="2:12" x14ac:dyDescent="0.25">
      <c r="B5" t="s">
        <v>49</v>
      </c>
    </row>
    <row r="6" spans="2:12" x14ac:dyDescent="0.25">
      <c r="B6" t="s">
        <v>50</v>
      </c>
    </row>
    <row r="7" spans="2:12" x14ac:dyDescent="0.25">
      <c r="B7" t="s">
        <v>51</v>
      </c>
    </row>
    <row r="8" spans="2:12" x14ac:dyDescent="0.25">
      <c r="B8" t="s">
        <v>55</v>
      </c>
    </row>
    <row r="9" spans="2:12" x14ac:dyDescent="0.25">
      <c r="B9" t="s">
        <v>56</v>
      </c>
    </row>
    <row r="10" spans="2:12" ht="132" customHeight="1" x14ac:dyDescent="0.25">
      <c r="B10" s="110" t="s">
        <v>63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2:12" x14ac:dyDescent="0.25">
      <c r="B11" t="s">
        <v>64</v>
      </c>
    </row>
    <row r="15" spans="2:12" x14ac:dyDescent="0.25">
      <c r="B15" t="s">
        <v>57</v>
      </c>
    </row>
    <row r="16" spans="2:12" x14ac:dyDescent="0.25">
      <c r="B16" t="s">
        <v>58</v>
      </c>
    </row>
    <row r="17" spans="2:2" x14ac:dyDescent="0.25">
      <c r="B17" t="s">
        <v>59</v>
      </c>
    </row>
    <row r="18" spans="2:2" x14ac:dyDescent="0.25">
      <c r="B18" t="s">
        <v>60</v>
      </c>
    </row>
    <row r="19" spans="2:2" x14ac:dyDescent="0.25">
      <c r="B19" t="s">
        <v>61</v>
      </c>
    </row>
  </sheetData>
  <mergeCells count="1">
    <mergeCell ref="B10:L1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4D08-3EEA-4ADD-925B-80DE429435BB}">
  <dimension ref="B3:AH40"/>
  <sheetViews>
    <sheetView zoomScale="80" zoomScaleNormal="80" workbookViewId="0">
      <selection activeCell="H32" sqref="H32"/>
    </sheetView>
  </sheetViews>
  <sheetFormatPr defaultRowHeight="15" x14ac:dyDescent="0.25"/>
  <cols>
    <col min="1" max="1" width="3.5703125" customWidth="1"/>
    <col min="2" max="2" width="21.85546875" customWidth="1"/>
    <col min="3" max="3" width="8.140625" bestFit="1" customWidth="1"/>
    <col min="4" max="5" width="7.140625" bestFit="1" customWidth="1"/>
    <col min="6" max="6" width="8.85546875" bestFit="1" customWidth="1"/>
    <col min="7" max="7" width="12" customWidth="1"/>
    <col min="8" max="8" width="12.28515625" bestFit="1" customWidth="1"/>
    <col min="9" max="9" width="10.7109375" bestFit="1" customWidth="1"/>
    <col min="10" max="10" width="11.42578125" bestFit="1" customWidth="1"/>
    <col min="11" max="11" width="8.5703125" customWidth="1"/>
    <col min="12" max="12" width="12.7109375" customWidth="1"/>
    <col min="13" max="13" width="9.42578125" bestFit="1" customWidth="1"/>
    <col min="14" max="15" width="7.140625" bestFit="1" customWidth="1"/>
    <col min="16" max="16" width="8.85546875" bestFit="1" customWidth="1"/>
    <col min="17" max="17" width="3.28515625" customWidth="1"/>
    <col min="18" max="18" width="12.28515625" bestFit="1" customWidth="1"/>
    <col min="19" max="21" width="12.28515625" customWidth="1"/>
    <col min="22" max="23" width="11.42578125" bestFit="1" customWidth="1"/>
    <col min="24" max="26" width="11.42578125" customWidth="1"/>
    <col min="27" max="28" width="11.42578125" bestFit="1" customWidth="1"/>
    <col min="30" max="30" width="9.85546875" bestFit="1" customWidth="1"/>
    <col min="31" max="31" width="9.85546875" customWidth="1"/>
  </cols>
  <sheetData>
    <row r="3" spans="2:34" x14ac:dyDescent="0.25">
      <c r="B3" s="57" t="s">
        <v>73</v>
      </c>
    </row>
    <row r="4" spans="2:34" x14ac:dyDescent="0.25">
      <c r="V4" s="111" t="s">
        <v>74</v>
      </c>
      <c r="W4" s="112"/>
      <c r="X4" s="112"/>
      <c r="Y4" s="112"/>
      <c r="Z4" s="113"/>
      <c r="AA4" s="114" t="s">
        <v>75</v>
      </c>
      <c r="AB4" s="115"/>
      <c r="AC4" s="115"/>
      <c r="AD4" s="115"/>
      <c r="AE4" s="115"/>
      <c r="AF4" s="115"/>
    </row>
    <row r="5" spans="2:34" s="59" customFormat="1" ht="30.75" customHeight="1" x14ac:dyDescent="0.25">
      <c r="B5" s="58" t="s">
        <v>76</v>
      </c>
      <c r="C5" s="59" t="s">
        <v>77</v>
      </c>
      <c r="D5" s="59" t="s">
        <v>44</v>
      </c>
      <c r="E5" s="59" t="s">
        <v>44</v>
      </c>
      <c r="F5" s="60" t="s">
        <v>78</v>
      </c>
      <c r="G5" s="59" t="s">
        <v>79</v>
      </c>
      <c r="H5" s="58" t="s">
        <v>53</v>
      </c>
      <c r="I5" s="58" t="s">
        <v>54</v>
      </c>
      <c r="J5" s="58" t="s">
        <v>80</v>
      </c>
      <c r="K5" s="58" t="s">
        <v>81</v>
      </c>
      <c r="L5" s="61" t="s">
        <v>82</v>
      </c>
      <c r="M5" s="59" t="s">
        <v>83</v>
      </c>
      <c r="N5" s="59" t="s">
        <v>44</v>
      </c>
      <c r="O5" s="59" t="s">
        <v>44</v>
      </c>
      <c r="P5" s="60" t="s">
        <v>78</v>
      </c>
      <c r="R5" s="58" t="s">
        <v>84</v>
      </c>
      <c r="S5" s="58" t="s">
        <v>85</v>
      </c>
      <c r="T5" s="62" t="s">
        <v>86</v>
      </c>
      <c r="U5" s="62" t="s">
        <v>87</v>
      </c>
      <c r="V5" s="63" t="s">
        <v>88</v>
      </c>
      <c r="W5" s="58" t="s">
        <v>89</v>
      </c>
      <c r="X5" s="64" t="s">
        <v>36</v>
      </c>
      <c r="Y5" s="62" t="s">
        <v>90</v>
      </c>
      <c r="Z5" s="62" t="s">
        <v>87</v>
      </c>
      <c r="AA5" s="63" t="s">
        <v>88</v>
      </c>
      <c r="AB5" s="58" t="s">
        <v>89</v>
      </c>
      <c r="AC5" s="58" t="s">
        <v>91</v>
      </c>
      <c r="AD5" s="64" t="s">
        <v>36</v>
      </c>
      <c r="AE5" s="62" t="s">
        <v>90</v>
      </c>
      <c r="AF5" s="62" t="s">
        <v>87</v>
      </c>
    </row>
    <row r="6" spans="2:34" s="73" customFormat="1" x14ac:dyDescent="0.25">
      <c r="B6" s="65"/>
      <c r="C6" s="66">
        <v>0.08</v>
      </c>
      <c r="D6" s="66">
        <v>0.11</v>
      </c>
      <c r="E6" s="66">
        <f>23%-11%</f>
        <v>0.12000000000000001</v>
      </c>
      <c r="F6" s="67" t="s">
        <v>92</v>
      </c>
      <c r="G6" s="68">
        <v>0.33329999999999999</v>
      </c>
      <c r="H6" s="65"/>
      <c r="I6" s="65" t="s">
        <v>93</v>
      </c>
      <c r="J6" s="66">
        <v>0.06</v>
      </c>
      <c r="K6" s="65"/>
      <c r="L6" s="69" t="s">
        <v>94</v>
      </c>
      <c r="M6" s="66">
        <v>0.08</v>
      </c>
      <c r="N6" s="66">
        <v>0.11</v>
      </c>
      <c r="O6" s="66">
        <f>23%-11%</f>
        <v>0.12000000000000001</v>
      </c>
      <c r="P6" s="67" t="s">
        <v>92</v>
      </c>
      <c r="Q6" s="65"/>
      <c r="R6" s="65"/>
      <c r="S6" s="65"/>
      <c r="T6" s="70"/>
      <c r="U6" s="70"/>
      <c r="V6" s="69"/>
      <c r="W6" s="65"/>
      <c r="X6" s="65"/>
      <c r="Y6" s="71"/>
      <c r="Z6" s="71"/>
      <c r="AA6" s="72"/>
      <c r="AE6" s="71"/>
      <c r="AF6" s="71"/>
    </row>
    <row r="7" spans="2:34" x14ac:dyDescent="0.25">
      <c r="F7" s="74"/>
      <c r="L7" s="75"/>
      <c r="P7" s="74"/>
      <c r="T7" s="76"/>
      <c r="U7" s="76"/>
      <c r="V7" s="75"/>
      <c r="Y7" s="76"/>
      <c r="Z7" s="76"/>
      <c r="AA7" s="77"/>
      <c r="AB7" s="78"/>
      <c r="AC7" s="78"/>
      <c r="AD7" s="78"/>
      <c r="AE7" s="76"/>
      <c r="AF7" s="76"/>
    </row>
    <row r="8" spans="2:34" x14ac:dyDescent="0.25">
      <c r="B8" s="79">
        <v>3000</v>
      </c>
      <c r="C8" s="79">
        <f>B8*$C$6</f>
        <v>240</v>
      </c>
      <c r="D8" s="79">
        <f>B8*$D$6</f>
        <v>330</v>
      </c>
      <c r="E8" s="79">
        <f>B8*$E$6</f>
        <v>360</v>
      </c>
      <c r="F8" s="80">
        <f>(B8*15%)-354.8</f>
        <v>95.199999999999989</v>
      </c>
      <c r="G8" s="79">
        <f>B8*$G$6</f>
        <v>999.9</v>
      </c>
      <c r="H8" s="81">
        <v>190</v>
      </c>
      <c r="I8" s="81">
        <f>30*4</f>
        <v>120</v>
      </c>
      <c r="J8" s="81">
        <f>B8*$J$6</f>
        <v>180</v>
      </c>
      <c r="K8" s="79">
        <v>15</v>
      </c>
      <c r="L8" s="82">
        <f>B8</f>
        <v>3000</v>
      </c>
      <c r="M8" s="79">
        <f>B8*$M$6</f>
        <v>240</v>
      </c>
      <c r="N8" s="79">
        <f>B8*$N$6</f>
        <v>330</v>
      </c>
      <c r="O8" s="79">
        <f>B8*$O$6</f>
        <v>360</v>
      </c>
      <c r="P8" s="80">
        <f>(L8*15%)-354.8</f>
        <v>95.199999999999989</v>
      </c>
      <c r="R8" s="79">
        <f>B8+C8+E8+H8+I8+K8-D8</f>
        <v>3595</v>
      </c>
      <c r="S8" s="79">
        <f>(R8*12)+G8+M8+L8+O8-N8</f>
        <v>47409.9</v>
      </c>
      <c r="T8" s="83">
        <f>B8</f>
        <v>3000</v>
      </c>
      <c r="U8" s="83">
        <f>R8-T8</f>
        <v>595</v>
      </c>
      <c r="V8" s="82">
        <f>B8-D8-F8-I8</f>
        <v>2454.8000000000002</v>
      </c>
      <c r="W8" s="79">
        <f>H8+I8</f>
        <v>310</v>
      </c>
      <c r="X8" s="79">
        <f>V8+W8</f>
        <v>2764.8</v>
      </c>
      <c r="Y8" s="83">
        <f>B8</f>
        <v>3000</v>
      </c>
      <c r="Z8" s="84">
        <f>X8-Y8</f>
        <v>-235.19999999999982</v>
      </c>
      <c r="AA8" s="82">
        <f>(V8*12)+G8+(L8-N8-P8)</f>
        <v>33032.300000000003</v>
      </c>
      <c r="AB8" s="79">
        <f>W8*12</f>
        <v>3720</v>
      </c>
      <c r="AC8" s="79">
        <f>C8*13</f>
        <v>3120</v>
      </c>
      <c r="AD8" s="79">
        <f>AA8+AB8+AC8</f>
        <v>39872.300000000003</v>
      </c>
      <c r="AE8" s="83">
        <f>B8*12</f>
        <v>36000</v>
      </c>
      <c r="AF8" s="83">
        <f>AD8-AE8</f>
        <v>3872.3000000000029</v>
      </c>
      <c r="AG8">
        <f>AF8/12</f>
        <v>322.69166666666689</v>
      </c>
      <c r="AH8" s="85">
        <f>AG8/3000</f>
        <v>0.10756388888888896</v>
      </c>
    </row>
    <row r="9" spans="2:34" x14ac:dyDescent="0.25">
      <c r="B9" s="79">
        <v>2500</v>
      </c>
      <c r="C9" s="79">
        <f>B9*$C$6</f>
        <v>200</v>
      </c>
      <c r="D9" s="79">
        <f>B9*$D$6</f>
        <v>275</v>
      </c>
      <c r="E9" s="79">
        <f>B9*$E$6</f>
        <v>300</v>
      </c>
      <c r="F9" s="80">
        <f>(B9*7.5%)-142.8</f>
        <v>44.699999999999989</v>
      </c>
      <c r="G9" s="79">
        <f>B9*$G$6</f>
        <v>833.25</v>
      </c>
      <c r="H9" s="81">
        <v>190</v>
      </c>
      <c r="I9" s="81">
        <f>30*4</f>
        <v>120</v>
      </c>
      <c r="J9" s="81">
        <f>B9*$J$6</f>
        <v>150</v>
      </c>
      <c r="K9" s="79">
        <v>15</v>
      </c>
      <c r="L9" s="82">
        <f>B9</f>
        <v>2500</v>
      </c>
      <c r="M9" s="79">
        <f>B9*$M$6</f>
        <v>200</v>
      </c>
      <c r="N9" s="79">
        <f>B9*$N$6</f>
        <v>275</v>
      </c>
      <c r="O9" s="79">
        <f>B9*$O$6</f>
        <v>300</v>
      </c>
      <c r="P9" s="80">
        <f>(L9*7.5%)-142.8</f>
        <v>44.699999999999989</v>
      </c>
      <c r="R9" s="79">
        <f>B9+C9+E9+H9+I9+K9-D9</f>
        <v>3050</v>
      </c>
      <c r="S9" s="79">
        <f>(R9*12)+G9+M9+L9+O9-N9</f>
        <v>40158.25</v>
      </c>
      <c r="T9" s="83">
        <f>B9</f>
        <v>2500</v>
      </c>
      <c r="U9" s="83">
        <f>R9-T9</f>
        <v>550</v>
      </c>
      <c r="V9" s="82">
        <f>B9-D9-F9-I9</f>
        <v>2060.3000000000002</v>
      </c>
      <c r="W9" s="79">
        <f>H9+I9</f>
        <v>310</v>
      </c>
      <c r="X9" s="79">
        <f>V9+W9</f>
        <v>2370.3000000000002</v>
      </c>
      <c r="Y9" s="83">
        <f>B9</f>
        <v>2500</v>
      </c>
      <c r="Z9" s="84">
        <f>X9-Y9</f>
        <v>-129.69999999999982</v>
      </c>
      <c r="AA9" s="82">
        <f>(V9*12)+G9+(L9-N9-P9)</f>
        <v>27737.15</v>
      </c>
      <c r="AB9" s="79">
        <f>W9*12</f>
        <v>3720</v>
      </c>
      <c r="AC9" s="79">
        <f>C9*13</f>
        <v>2600</v>
      </c>
      <c r="AD9" s="79">
        <f>AA9+AB9+AC9</f>
        <v>34057.15</v>
      </c>
      <c r="AE9" s="83">
        <f>B9*12</f>
        <v>30000</v>
      </c>
      <c r="AF9" s="83">
        <f>AD9-AE9</f>
        <v>4057.1500000000015</v>
      </c>
      <c r="AG9">
        <f>AF9/12</f>
        <v>338.09583333333347</v>
      </c>
      <c r="AH9" s="85">
        <f>AG9/2000</f>
        <v>0.16904791666666674</v>
      </c>
    </row>
    <row r="11" spans="2:34" x14ac:dyDescent="0.25">
      <c r="B11" t="s">
        <v>95</v>
      </c>
    </row>
    <row r="13" spans="2:34" x14ac:dyDescent="0.25">
      <c r="B13" s="26" t="s">
        <v>96</v>
      </c>
    </row>
    <row r="14" spans="2:34" x14ac:dyDescent="0.25">
      <c r="B14" t="s">
        <v>57</v>
      </c>
    </row>
    <row r="15" spans="2:34" x14ac:dyDescent="0.25">
      <c r="B15" t="s">
        <v>58</v>
      </c>
    </row>
    <row r="16" spans="2:34" x14ac:dyDescent="0.25">
      <c r="B16" t="s">
        <v>59</v>
      </c>
    </row>
    <row r="17" spans="2:6" x14ac:dyDescent="0.25">
      <c r="B17" t="s">
        <v>60</v>
      </c>
    </row>
    <row r="18" spans="2:6" x14ac:dyDescent="0.25">
      <c r="B18" t="s">
        <v>61</v>
      </c>
    </row>
    <row r="22" spans="2:6" x14ac:dyDescent="0.25">
      <c r="B22" s="57" t="s">
        <v>101</v>
      </c>
      <c r="C22" s="57"/>
      <c r="D22" s="57"/>
    </row>
    <row r="24" spans="2:6" x14ac:dyDescent="0.25">
      <c r="B24" s="26" t="s">
        <v>97</v>
      </c>
      <c r="C24" s="26" t="s">
        <v>108</v>
      </c>
      <c r="D24" s="29">
        <v>3000</v>
      </c>
      <c r="F24" s="29"/>
    </row>
    <row r="26" spans="2:6" x14ac:dyDescent="0.25">
      <c r="B26" t="s">
        <v>45</v>
      </c>
      <c r="C26" s="87">
        <v>0.08</v>
      </c>
      <c r="D26">
        <f>D24*$C$26</f>
        <v>240</v>
      </c>
    </row>
    <row r="27" spans="2:6" x14ac:dyDescent="0.25">
      <c r="B27" t="s">
        <v>44</v>
      </c>
      <c r="C27" s="87">
        <v>0.12</v>
      </c>
      <c r="D27">
        <f>D24*C27</f>
        <v>360</v>
      </c>
    </row>
    <row r="28" spans="2:6" x14ac:dyDescent="0.25">
      <c r="B28" t="s">
        <v>65</v>
      </c>
      <c r="C28" s="87">
        <v>0.01</v>
      </c>
      <c r="D28">
        <f>D24*C28</f>
        <v>30</v>
      </c>
    </row>
    <row r="29" spans="2:6" x14ac:dyDescent="0.25">
      <c r="B29" t="s">
        <v>98</v>
      </c>
      <c r="C29">
        <v>12</v>
      </c>
      <c r="D29">
        <f>D24/C29</f>
        <v>250</v>
      </c>
    </row>
    <row r="30" spans="2:6" x14ac:dyDescent="0.25">
      <c r="B30" t="s">
        <v>79</v>
      </c>
      <c r="C30" s="87">
        <v>0.33329999999999999</v>
      </c>
      <c r="D30">
        <f>D24*C30/12</f>
        <v>83.325000000000003</v>
      </c>
    </row>
    <row r="31" spans="2:6" x14ac:dyDescent="0.25">
      <c r="B31" t="s">
        <v>99</v>
      </c>
      <c r="C31">
        <v>190</v>
      </c>
      <c r="D31">
        <f>C31</f>
        <v>190</v>
      </c>
    </row>
    <row r="32" spans="2:6" x14ac:dyDescent="0.25">
      <c r="B32" t="s">
        <v>102</v>
      </c>
      <c r="C32">
        <f>4*20</f>
        <v>80</v>
      </c>
      <c r="D32">
        <f>C32</f>
        <v>80</v>
      </c>
    </row>
    <row r="33" spans="2:4" x14ac:dyDescent="0.25">
      <c r="B33" t="s">
        <v>103</v>
      </c>
    </row>
    <row r="34" spans="2:4" x14ac:dyDescent="0.25">
      <c r="B34" t="s">
        <v>100</v>
      </c>
      <c r="C34" s="87">
        <v>0.05</v>
      </c>
      <c r="D34">
        <f>C34*D24</f>
        <v>150</v>
      </c>
    </row>
    <row r="35" spans="2:4" x14ac:dyDescent="0.25">
      <c r="B35" t="s">
        <v>104</v>
      </c>
      <c r="C35" s="87">
        <v>0.4</v>
      </c>
      <c r="D35">
        <f>C35*D26</f>
        <v>96</v>
      </c>
    </row>
    <row r="36" spans="2:4" x14ac:dyDescent="0.25">
      <c r="B36" t="s">
        <v>105</v>
      </c>
      <c r="C36">
        <f>D24/30/12</f>
        <v>8.3333333333333339</v>
      </c>
      <c r="D36">
        <f>C36*3</f>
        <v>25</v>
      </c>
    </row>
    <row r="37" spans="2:4" x14ac:dyDescent="0.25">
      <c r="B37" t="s">
        <v>61</v>
      </c>
      <c r="C37">
        <v>400</v>
      </c>
      <c r="D37">
        <f>C37/12</f>
        <v>33.333333333333336</v>
      </c>
    </row>
    <row r="38" spans="2:4" x14ac:dyDescent="0.25">
      <c r="B38" t="s">
        <v>107</v>
      </c>
      <c r="C38">
        <v>100</v>
      </c>
      <c r="D38">
        <f>C38</f>
        <v>100</v>
      </c>
    </row>
    <row r="40" spans="2:4" x14ac:dyDescent="0.25">
      <c r="D40">
        <f>SUM(D26:D39)</f>
        <v>1637.6583333333333</v>
      </c>
    </row>
  </sheetData>
  <mergeCells count="2">
    <mergeCell ref="V4:Z4"/>
    <mergeCell ref="AA4:AF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10A2-0A46-44C0-8FDE-9319380551AE}">
  <dimension ref="B2:B6"/>
  <sheetViews>
    <sheetView workbookViewId="0">
      <selection activeCell="C13" sqref="C13"/>
    </sheetView>
  </sheetViews>
  <sheetFormatPr defaultRowHeight="15" x14ac:dyDescent="0.25"/>
  <cols>
    <col min="1" max="1" width="4" customWidth="1"/>
  </cols>
  <sheetData>
    <row r="2" spans="2:2" x14ac:dyDescent="0.25">
      <c r="B2" s="39" t="s">
        <v>110</v>
      </c>
    </row>
    <row r="3" spans="2:2" x14ac:dyDescent="0.25">
      <c r="B3" t="s">
        <v>109</v>
      </c>
    </row>
    <row r="5" spans="2:2" x14ac:dyDescent="0.25">
      <c r="B5" t="s">
        <v>123</v>
      </c>
    </row>
    <row r="6" spans="2:2" x14ac:dyDescent="0.25">
      <c r="B6" t="s">
        <v>124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C645-57EC-4830-B43A-6551C392AB4C}">
  <dimension ref="B2:O20"/>
  <sheetViews>
    <sheetView zoomScale="90" zoomScaleNormal="90" workbookViewId="0">
      <selection activeCell="P18" sqref="P18"/>
    </sheetView>
  </sheetViews>
  <sheetFormatPr defaultRowHeight="15" x14ac:dyDescent="0.25"/>
  <cols>
    <col min="1" max="1" width="3" customWidth="1"/>
    <col min="2" max="2" width="28.140625" customWidth="1"/>
    <col min="3" max="3" width="4.42578125" bestFit="1" customWidth="1"/>
    <col min="4" max="8" width="6" bestFit="1" customWidth="1"/>
    <col min="9" max="9" width="4.42578125" bestFit="1" customWidth="1"/>
    <col min="10" max="14" width="6" bestFit="1" customWidth="1"/>
  </cols>
  <sheetData>
    <row r="2" spans="2:15" x14ac:dyDescent="0.25">
      <c r="C2" s="26" t="s">
        <v>17</v>
      </c>
      <c r="D2" s="26" t="s">
        <v>18</v>
      </c>
      <c r="E2" s="26" t="s">
        <v>19</v>
      </c>
      <c r="F2" s="26" t="s">
        <v>20</v>
      </c>
      <c r="G2" s="26" t="s">
        <v>21</v>
      </c>
      <c r="H2" s="26" t="s">
        <v>22</v>
      </c>
      <c r="I2" s="26" t="s">
        <v>129</v>
      </c>
      <c r="J2" s="26" t="s">
        <v>130</v>
      </c>
      <c r="K2" s="26" t="s">
        <v>131</v>
      </c>
      <c r="L2" s="26" t="s">
        <v>132</v>
      </c>
      <c r="M2" s="26" t="s">
        <v>133</v>
      </c>
      <c r="N2" s="26" t="s">
        <v>134</v>
      </c>
      <c r="O2" s="59" t="s">
        <v>36</v>
      </c>
    </row>
    <row r="3" spans="2:15" x14ac:dyDescent="0.25">
      <c r="B3" t="s">
        <v>136</v>
      </c>
      <c r="F3" s="27"/>
      <c r="G3" s="27"/>
      <c r="H3" s="27">
        <v>1200</v>
      </c>
      <c r="I3" s="27"/>
      <c r="J3" s="27"/>
      <c r="K3" s="27"/>
      <c r="L3" s="27">
        <v>1200</v>
      </c>
      <c r="M3" s="27"/>
      <c r="N3" s="27"/>
      <c r="O3" s="29">
        <f>SUM(C3:N3)</f>
        <v>2400</v>
      </c>
    </row>
    <row r="4" spans="2:15" x14ac:dyDescent="0.25">
      <c r="B4" t="s">
        <v>144</v>
      </c>
      <c r="G4" s="27">
        <v>1000</v>
      </c>
      <c r="I4" s="27"/>
      <c r="K4" s="27">
        <v>1000</v>
      </c>
      <c r="M4" s="27"/>
      <c r="N4" s="27"/>
      <c r="O4" s="29">
        <f t="shared" ref="O4:O7" si="0">SUM(C4:N4)</f>
        <v>2000</v>
      </c>
    </row>
    <row r="5" spans="2:15" x14ac:dyDescent="0.25">
      <c r="B5" t="s">
        <v>137</v>
      </c>
      <c r="F5">
        <v>600</v>
      </c>
      <c r="K5">
        <v>600</v>
      </c>
      <c r="M5" s="27"/>
      <c r="O5" s="29">
        <f t="shared" si="0"/>
        <v>1200</v>
      </c>
    </row>
    <row r="6" spans="2:15" x14ac:dyDescent="0.25">
      <c r="B6" t="s">
        <v>120</v>
      </c>
      <c r="E6">
        <v>600</v>
      </c>
      <c r="G6">
        <v>600</v>
      </c>
      <c r="H6">
        <v>600</v>
      </c>
      <c r="J6">
        <v>600</v>
      </c>
      <c r="L6">
        <v>600</v>
      </c>
      <c r="N6">
        <v>600</v>
      </c>
      <c r="O6" s="29">
        <f t="shared" si="0"/>
        <v>3600</v>
      </c>
    </row>
    <row r="7" spans="2:15" x14ac:dyDescent="0.25">
      <c r="B7" t="s">
        <v>145</v>
      </c>
      <c r="E7" s="27">
        <v>1300</v>
      </c>
      <c r="H7" s="27">
        <v>1300</v>
      </c>
      <c r="K7" s="27">
        <v>1300</v>
      </c>
      <c r="N7" s="27">
        <v>1300</v>
      </c>
      <c r="O7" s="29">
        <f t="shared" si="0"/>
        <v>5200</v>
      </c>
    </row>
    <row r="9" spans="2:15" x14ac:dyDescent="0.25">
      <c r="B9" s="28" t="s">
        <v>36</v>
      </c>
      <c r="C9" s="29">
        <f>SUM(C3:C8)</f>
        <v>0</v>
      </c>
      <c r="D9" s="29">
        <f t="shared" ref="D9:N9" si="1">SUM(D3:D8)</f>
        <v>0</v>
      </c>
      <c r="E9" s="29">
        <f t="shared" si="1"/>
        <v>1900</v>
      </c>
      <c r="F9" s="29">
        <f t="shared" si="1"/>
        <v>600</v>
      </c>
      <c r="G9" s="29">
        <f t="shared" si="1"/>
        <v>1600</v>
      </c>
      <c r="H9" s="29">
        <f t="shared" si="1"/>
        <v>3100</v>
      </c>
      <c r="I9" s="29">
        <f t="shared" si="1"/>
        <v>0</v>
      </c>
      <c r="J9" s="29">
        <f t="shared" si="1"/>
        <v>600</v>
      </c>
      <c r="K9" s="29">
        <f t="shared" si="1"/>
        <v>2900</v>
      </c>
      <c r="L9" s="29">
        <f t="shared" si="1"/>
        <v>1800</v>
      </c>
      <c r="M9" s="29">
        <f t="shared" si="1"/>
        <v>0</v>
      </c>
      <c r="N9" s="29">
        <f t="shared" si="1"/>
        <v>1900</v>
      </c>
      <c r="O9" s="29">
        <f>SUM(O3:O8)</f>
        <v>14400</v>
      </c>
    </row>
    <row r="13" spans="2:15" x14ac:dyDescent="0.25">
      <c r="C13" s="26" t="s">
        <v>17</v>
      </c>
      <c r="D13" s="26" t="s">
        <v>18</v>
      </c>
      <c r="E13" s="26" t="s">
        <v>19</v>
      </c>
      <c r="F13" s="26" t="s">
        <v>20</v>
      </c>
      <c r="G13" s="26" t="s">
        <v>21</v>
      </c>
      <c r="H13" s="26" t="s">
        <v>22</v>
      </c>
      <c r="I13" s="26" t="s">
        <v>129</v>
      </c>
      <c r="J13" s="26" t="s">
        <v>130</v>
      </c>
      <c r="K13" s="26" t="s">
        <v>131</v>
      </c>
      <c r="L13" s="26" t="s">
        <v>132</v>
      </c>
      <c r="M13" s="26" t="s">
        <v>133</v>
      </c>
      <c r="N13" s="26" t="s">
        <v>134</v>
      </c>
      <c r="O13" s="59"/>
    </row>
    <row r="14" spans="2:15" x14ac:dyDescent="0.25">
      <c r="B14" s="93" t="s">
        <v>136</v>
      </c>
      <c r="C14" s="93"/>
      <c r="D14" s="93"/>
      <c r="E14" s="93"/>
      <c r="F14" s="94"/>
      <c r="G14" s="94"/>
      <c r="H14" s="94" t="s">
        <v>139</v>
      </c>
      <c r="I14" s="94"/>
      <c r="J14" s="94"/>
      <c r="K14" s="94"/>
      <c r="L14" s="94" t="s">
        <v>139</v>
      </c>
      <c r="M14" s="94"/>
      <c r="N14" s="94"/>
      <c r="O14" s="29"/>
    </row>
    <row r="15" spans="2:15" x14ac:dyDescent="0.25">
      <c r="B15" s="93" t="s">
        <v>135</v>
      </c>
      <c r="C15" s="93"/>
      <c r="D15" s="93"/>
      <c r="E15" s="93"/>
      <c r="F15" s="93"/>
      <c r="G15" s="94" t="s">
        <v>139</v>
      </c>
      <c r="H15" s="93"/>
      <c r="I15" s="94"/>
      <c r="J15" s="93"/>
      <c r="K15" s="94" t="s">
        <v>139</v>
      </c>
      <c r="L15" s="93"/>
      <c r="M15" s="94"/>
      <c r="N15" s="94"/>
      <c r="O15" s="29"/>
    </row>
    <row r="16" spans="2:15" x14ac:dyDescent="0.25">
      <c r="B16" s="93" t="s">
        <v>137</v>
      </c>
      <c r="C16" s="93"/>
      <c r="D16" s="93"/>
      <c r="E16" s="93"/>
      <c r="F16" s="93" t="s">
        <v>139</v>
      </c>
      <c r="G16" s="93"/>
      <c r="H16" s="93"/>
      <c r="I16" s="93"/>
      <c r="J16" s="93"/>
      <c r="K16" s="93" t="s">
        <v>139</v>
      </c>
      <c r="L16" s="93"/>
      <c r="M16" s="94"/>
      <c r="N16" s="93"/>
      <c r="O16" s="29"/>
    </row>
    <row r="17" spans="2:15" x14ac:dyDescent="0.25">
      <c r="B17" s="93" t="s">
        <v>138</v>
      </c>
      <c r="C17" s="93"/>
      <c r="D17" s="93"/>
      <c r="E17" s="93" t="s">
        <v>139</v>
      </c>
      <c r="F17" s="93"/>
      <c r="G17" s="93" t="s">
        <v>139</v>
      </c>
      <c r="H17" s="93" t="s">
        <v>139</v>
      </c>
      <c r="I17" s="93"/>
      <c r="J17" s="93" t="s">
        <v>139</v>
      </c>
      <c r="K17" s="93"/>
      <c r="L17" s="93" t="s">
        <v>139</v>
      </c>
      <c r="M17" s="93"/>
      <c r="N17" s="93" t="s">
        <v>139</v>
      </c>
      <c r="O17" s="29"/>
    </row>
    <row r="18" spans="2:15" ht="44.25" customHeight="1" x14ac:dyDescent="0.25">
      <c r="B18" s="96" t="s">
        <v>145</v>
      </c>
      <c r="C18" s="93"/>
      <c r="D18" s="93"/>
      <c r="E18" s="93" t="s">
        <v>139</v>
      </c>
      <c r="F18" s="93"/>
      <c r="G18" s="93"/>
      <c r="H18" s="93" t="s">
        <v>139</v>
      </c>
      <c r="I18" s="93"/>
      <c r="J18" s="93"/>
      <c r="K18" s="93" t="s">
        <v>139</v>
      </c>
      <c r="L18" s="93"/>
      <c r="M18" s="93"/>
      <c r="N18" s="93" t="s">
        <v>139</v>
      </c>
      <c r="O18" s="29"/>
    </row>
    <row r="20" spans="2:15" x14ac:dyDescent="0.2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</sheetData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DFC77-D07F-42F3-8931-CB9B32FE1B32}">
  <dimension ref="B2:I18"/>
  <sheetViews>
    <sheetView zoomScale="90" zoomScaleNormal="90" workbookViewId="0">
      <selection activeCell="H14" sqref="H14"/>
    </sheetView>
  </sheetViews>
  <sheetFormatPr defaultRowHeight="15" x14ac:dyDescent="0.25"/>
  <cols>
    <col min="2" max="2" width="17.28515625" bestFit="1" customWidth="1"/>
    <col min="5" max="5" width="10.85546875" customWidth="1"/>
    <col min="6" max="6" width="15.140625" bestFit="1" customWidth="1"/>
    <col min="7" max="7" width="22" bestFit="1" customWidth="1"/>
    <col min="8" max="8" width="16.85546875" customWidth="1"/>
    <col min="9" max="9" width="13.140625" customWidth="1"/>
  </cols>
  <sheetData>
    <row r="2" spans="2:9" x14ac:dyDescent="0.25">
      <c r="G2" s="37"/>
      <c r="H2" s="37"/>
    </row>
    <row r="3" spans="2:9" x14ac:dyDescent="0.25">
      <c r="B3" s="26" t="s">
        <v>43</v>
      </c>
    </row>
    <row r="4" spans="2:9" x14ac:dyDescent="0.25">
      <c r="C4" s="59" t="s">
        <v>115</v>
      </c>
      <c r="D4" s="59" t="s">
        <v>40</v>
      </c>
      <c r="E4" s="59" t="s">
        <v>114</v>
      </c>
      <c r="F4" s="59" t="s">
        <v>39</v>
      </c>
      <c r="G4" s="59" t="s">
        <v>116</v>
      </c>
      <c r="H4" s="59" t="s">
        <v>41</v>
      </c>
      <c r="I4" t="s">
        <v>42</v>
      </c>
    </row>
    <row r="5" spans="2:9" x14ac:dyDescent="0.25">
      <c r="B5" t="s">
        <v>32</v>
      </c>
      <c r="C5">
        <v>30</v>
      </c>
      <c r="D5">
        <v>6</v>
      </c>
      <c r="E5">
        <v>11</v>
      </c>
      <c r="F5">
        <f>C5*E5</f>
        <v>330</v>
      </c>
      <c r="G5">
        <f>D5*E5</f>
        <v>66</v>
      </c>
      <c r="H5" s="37">
        <v>20</v>
      </c>
      <c r="I5" s="37">
        <f>(F5+G5)*H5</f>
        <v>7920</v>
      </c>
    </row>
    <row r="6" spans="2:9" x14ac:dyDescent="0.25">
      <c r="B6" t="s">
        <v>33</v>
      </c>
      <c r="C6">
        <v>30</v>
      </c>
      <c r="D6">
        <v>6</v>
      </c>
      <c r="E6">
        <v>11</v>
      </c>
      <c r="F6">
        <f t="shared" ref="F6:F8" si="0">C6*E6</f>
        <v>330</v>
      </c>
      <c r="G6">
        <f t="shared" ref="G6:G8" si="1">D6*E6</f>
        <v>66</v>
      </c>
      <c r="H6" s="37">
        <v>20</v>
      </c>
      <c r="I6" s="37">
        <f>(F6+G6)*H6</f>
        <v>7920</v>
      </c>
    </row>
    <row r="7" spans="2:9" x14ac:dyDescent="0.25">
      <c r="B7" t="s">
        <v>34</v>
      </c>
      <c r="C7">
        <v>30</v>
      </c>
      <c r="D7">
        <v>6</v>
      </c>
      <c r="E7">
        <v>6</v>
      </c>
      <c r="F7">
        <f t="shared" si="0"/>
        <v>180</v>
      </c>
      <c r="G7">
        <f t="shared" si="1"/>
        <v>36</v>
      </c>
      <c r="H7" s="37">
        <v>20</v>
      </c>
      <c r="I7" s="37">
        <f>(F7+G7)*H7</f>
        <v>4320</v>
      </c>
    </row>
    <row r="8" spans="2:9" x14ac:dyDescent="0.25">
      <c r="B8" t="s">
        <v>35</v>
      </c>
      <c r="C8">
        <v>30</v>
      </c>
      <c r="D8">
        <v>6</v>
      </c>
      <c r="E8">
        <v>6</v>
      </c>
      <c r="F8">
        <f t="shared" si="0"/>
        <v>180</v>
      </c>
      <c r="G8">
        <f t="shared" si="1"/>
        <v>36</v>
      </c>
      <c r="H8" s="37">
        <v>20</v>
      </c>
      <c r="I8" s="37">
        <f>(F8+G8)*H8</f>
        <v>4320</v>
      </c>
    </row>
    <row r="9" spans="2:9" x14ac:dyDescent="0.25">
      <c r="I9" s="38">
        <f>SUM(I5:I8)</f>
        <v>24480</v>
      </c>
    </row>
    <row r="13" spans="2:9" x14ac:dyDescent="0.25">
      <c r="C13" s="26" t="s">
        <v>118</v>
      </c>
      <c r="H13" s="26" t="s">
        <v>119</v>
      </c>
    </row>
    <row r="14" spans="2:9" x14ac:dyDescent="0.25">
      <c r="B14" t="s">
        <v>32</v>
      </c>
      <c r="C14">
        <v>30</v>
      </c>
      <c r="E14">
        <v>11</v>
      </c>
      <c r="F14">
        <f>C14*E14</f>
        <v>330</v>
      </c>
      <c r="G14">
        <f>D14*E14</f>
        <v>0</v>
      </c>
      <c r="H14" s="37">
        <v>12</v>
      </c>
      <c r="I14" s="37">
        <f>(F14+G14)*H14</f>
        <v>3960</v>
      </c>
    </row>
    <row r="15" spans="2:9" x14ac:dyDescent="0.25">
      <c r="B15" t="s">
        <v>33</v>
      </c>
      <c r="C15">
        <v>30</v>
      </c>
      <c r="E15">
        <v>11</v>
      </c>
      <c r="F15">
        <f t="shared" ref="F15:F17" si="2">C15*E15</f>
        <v>330</v>
      </c>
      <c r="G15">
        <f t="shared" ref="G15:G17" si="3">D15*E15</f>
        <v>0</v>
      </c>
      <c r="H15" s="37">
        <v>12</v>
      </c>
      <c r="I15" s="37">
        <f>(F15+G15)*H15</f>
        <v>3960</v>
      </c>
    </row>
    <row r="16" spans="2:9" x14ac:dyDescent="0.25">
      <c r="B16" t="s">
        <v>34</v>
      </c>
      <c r="C16">
        <v>30</v>
      </c>
      <c r="E16">
        <v>6</v>
      </c>
      <c r="F16">
        <f t="shared" si="2"/>
        <v>180</v>
      </c>
      <c r="G16">
        <f t="shared" si="3"/>
        <v>0</v>
      </c>
      <c r="H16" s="37">
        <v>12</v>
      </c>
      <c r="I16" s="37">
        <f>(F16+G16)*H16</f>
        <v>2160</v>
      </c>
    </row>
    <row r="17" spans="2:9" x14ac:dyDescent="0.25">
      <c r="B17" t="s">
        <v>35</v>
      </c>
      <c r="C17">
        <v>30</v>
      </c>
      <c r="E17">
        <v>6</v>
      </c>
      <c r="F17">
        <f t="shared" si="2"/>
        <v>180</v>
      </c>
      <c r="G17">
        <f t="shared" si="3"/>
        <v>0</v>
      </c>
      <c r="H17" s="37">
        <v>12</v>
      </c>
      <c r="I17" s="37">
        <f>(F17+G17)*H17</f>
        <v>2160</v>
      </c>
    </row>
    <row r="18" spans="2:9" x14ac:dyDescent="0.25">
      <c r="I18" s="38">
        <f>SUM(I14:I17)</f>
        <v>12240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Orç 2020</vt:lpstr>
      <vt:lpstr>CLT</vt:lpstr>
      <vt:lpstr>Cálculos CLT</vt:lpstr>
      <vt:lpstr>Justificativas</vt:lpstr>
      <vt:lpstr>Mem Locação PJ</vt:lpstr>
      <vt:lpstr>Alim-Ref</vt:lpstr>
      <vt:lpstr>'Orç 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</dc:creator>
  <cp:lastModifiedBy>Vanessa Tudda</cp:lastModifiedBy>
  <cp:lastPrinted>2020-01-29T16:23:35Z</cp:lastPrinted>
  <dcterms:created xsi:type="dcterms:W3CDTF">2018-11-25T13:23:03Z</dcterms:created>
  <dcterms:modified xsi:type="dcterms:W3CDTF">2020-03-10T13:00:57Z</dcterms:modified>
</cp:coreProperties>
</file>